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报价清单!$A$3:$G$17</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0">汇总表!$A$1:$F$5</definedName>
    <definedName name="_xlnm.Print_Area" localSheetId="1">编制说明!$A$1:$B$12</definedName>
    <definedName name="_xlnm.Print_Area" localSheetId="2">报价清单!$A$1:$L$17</definedName>
  </definedNames>
  <calcPr calcId="144525"/>
</workbook>
</file>

<file path=xl/sharedStrings.xml><?xml version="1.0" encoding="utf-8"?>
<sst xmlns="http://schemas.openxmlformats.org/spreadsheetml/2006/main" count="73" uniqueCount="51">
  <si>
    <t>东莞市民服务中心三期矿物质电缆采购合同
投标费用汇总表</t>
  </si>
  <si>
    <t>序号</t>
  </si>
  <si>
    <t>费用名称</t>
  </si>
  <si>
    <t>计费基数</t>
  </si>
  <si>
    <t>投标限价（元）</t>
  </si>
  <si>
    <t>投标报价</t>
  </si>
  <si>
    <t>备注</t>
  </si>
  <si>
    <t>采购费用</t>
  </si>
  <si>
    <t>汇总报价</t>
  </si>
  <si>
    <t>小写：</t>
  </si>
  <si>
    <t>大写：</t>
  </si>
  <si>
    <t>东莞市民服务中心三期矿物质电缆采购招标清单报价说明</t>
  </si>
  <si>
    <t>招标范围东莞市民服务中心三期矿物质电缆采购，范围以招标文件书面资料为准。</t>
  </si>
  <si>
    <t>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t>
  </si>
  <si>
    <t>本清单中所有填报的价格均为不含税单价，增值税统一按照13%考虑。</t>
  </si>
  <si>
    <t>此次招标清单按上海有色金属网9月28日铜材64760元/吨报价；
调价公式为：p=p0+（b-a）×v
p：合同电缆价格（元/米）；
p0：基准价格（元/米）；
b:采购人下达书面订货单当天“上海有色金属网广东SMM1＃电解铜”均价作为铜价调差基准价；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</si>
  <si>
    <t>交货期为下单之日起20天内交货至项目现场；货到工地，由采购人、监理现场随机抽样监督送检；如送检不合格，则该批电缆退货，所发生的费用由供货单位负责；如发生3次以上送检不合格，将追究其中标人责任。</t>
  </si>
  <si>
    <t>投标方应巨细无疑考虑现场、图纸等实际情况；报价人也应深入理解技术标准和验收要求,所有在招标时提供的文件均认为已完整无误包含在价格之中；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</si>
  <si>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</si>
  <si>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</si>
  <si>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采购人的技术标准，对于采购人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</si>
  <si>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</si>
  <si>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</si>
  <si>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</si>
  <si>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东莞市民服务中心三期矿物质电缆采购报价清单</t>
  </si>
  <si>
    <t>名称</t>
  </si>
  <si>
    <t>电压等级</t>
  </si>
  <si>
    <t>单位</t>
  </si>
  <si>
    <t>线/缆合计(m)</t>
  </si>
  <si>
    <t>控制价</t>
  </si>
  <si>
    <t>每米产品铜的净重（吨/米）</t>
  </si>
  <si>
    <t>上海有色金属网9月28日
基准铜价t
（不含税）</t>
  </si>
  <si>
    <t>基准铜价不含税单价（元）</t>
  </si>
  <si>
    <t>单价（元）</t>
  </si>
  <si>
    <t>合价（元）</t>
  </si>
  <si>
    <t>不含税单价（元/m）</t>
  </si>
  <si>
    <t>BBTRZ-4*25+1*16</t>
  </si>
  <si>
    <t>0.6/1kv</t>
  </si>
  <si>
    <t>m</t>
  </si>
  <si>
    <t>BBTRZ-4*35+1*16</t>
  </si>
  <si>
    <t>BBTRZ-4x150+1x70</t>
  </si>
  <si>
    <t>BBTRZ-4x70+1x35</t>
  </si>
  <si>
    <t>BBTRZ-4x95+1x50</t>
  </si>
  <si>
    <t>BBTRZ-5*10</t>
  </si>
  <si>
    <t>BBTRZ-5*16</t>
  </si>
  <si>
    <t>BBTRZ-5*6</t>
  </si>
  <si>
    <t>BBTRZ-5*4</t>
  </si>
  <si>
    <t>BTTRZ-3x2.5</t>
  </si>
  <si>
    <t>税金13%（元）</t>
  </si>
  <si>
    <t>含税合计（元）</t>
  </si>
  <si>
    <t>备注：
1、本次招标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采购人下达书面订货当日上海有色金属网广东SMM1＃电解铜均价与投标基准价相比，此次招标清单按上海有色金属网9月28日铜材64760元/吨报价；
调价公式为：p=p0+（b-a）×v
p：合同电缆价格（元/米）；
p0：基准价格（元/米）；
b:采购人下达书面订货单当天“上海有色金属网广东SMM1＃电解铜”均价作为铜价调差基准价；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</si>
</sst>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 "/>
  </numFmts>
  <fonts count="37">
    <font>
      <sz val="11"/>
      <color theme="1"/>
      <name val="宋体"/>
      <charset val="134"/>
      <scheme val="minor"/>
    </font>
    <font>
      <sz val="11"/>
      <name val="Arial"/>
      <charset val="0"/>
    </font>
    <font>
      <b/>
      <sz val="18"/>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b/>
      <sz val="11"/>
      <color theme="1"/>
      <name val="宋体"/>
      <charset val="134"/>
      <scheme val="minor"/>
    </font>
    <font>
      <sz val="10"/>
      <color theme="1"/>
      <name val="仿宋_GB2312"/>
      <charset val="134"/>
    </font>
    <font>
      <b/>
      <sz val="10"/>
      <name val="仿宋_GB2312"/>
      <charset val="134"/>
    </font>
    <font>
      <sz val="10"/>
      <name val="仿宋_GB2312"/>
      <charset val="134"/>
    </font>
    <font>
      <sz val="10"/>
      <color indexed="8"/>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4" borderId="16" applyNumberFormat="0" applyAlignment="0" applyProtection="0">
      <alignment vertical="center"/>
    </xf>
    <xf numFmtId="0" fontId="27" fillId="5" borderId="17" applyNumberFormat="0" applyAlignment="0" applyProtection="0">
      <alignment vertical="center"/>
    </xf>
    <xf numFmtId="0" fontId="28" fillId="5" borderId="16" applyNumberFormat="0" applyAlignment="0" applyProtection="0">
      <alignment vertical="center"/>
    </xf>
    <xf numFmtId="0" fontId="29" fillId="6"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4" fillId="0" borderId="0">
      <alignment vertical="center"/>
    </xf>
    <xf numFmtId="0" fontId="14" fillId="0" borderId="0">
      <alignment vertical="center"/>
    </xf>
  </cellStyleXfs>
  <cellXfs count="74">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177" fontId="0" fillId="0" borderId="0" xfId="0" applyNumberFormat="1"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left"/>
    </xf>
    <xf numFmtId="0" fontId="5"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center" vertical="center"/>
    </xf>
    <xf numFmtId="176" fontId="5" fillId="0" borderId="2" xfId="0" applyNumberFormat="1" applyFont="1" applyFill="1" applyBorder="1">
      <alignment vertical="center"/>
    </xf>
    <xf numFmtId="178" fontId="6" fillId="0" borderId="2" xfId="0" applyNumberFormat="1" applyFont="1" applyFill="1" applyBorder="1">
      <alignment vertical="center"/>
    </xf>
    <xf numFmtId="177" fontId="0" fillId="0" borderId="2" xfId="0" applyNumberFormat="1" applyFont="1" applyFill="1" applyBorder="1">
      <alignment vertical="center"/>
    </xf>
    <xf numFmtId="0" fontId="5" fillId="0" borderId="2" xfId="0" applyFont="1" applyFill="1" applyBorder="1" applyAlignment="1">
      <alignment horizontal="left" wrapText="1"/>
    </xf>
    <xf numFmtId="0" fontId="5"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176" fontId="6" fillId="0" borderId="2" xfId="0" applyNumberFormat="1"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vertical="center"/>
    </xf>
    <xf numFmtId="178" fontId="0" fillId="0" borderId="2" xfId="0" applyNumberFormat="1" applyFont="1" applyFill="1" applyBorder="1">
      <alignment vertical="center"/>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177" fontId="9" fillId="0" borderId="2" xfId="0" applyNumberFormat="1" applyFont="1" applyFill="1" applyBorder="1" applyAlignment="1">
      <alignment horizontal="left" vertical="top"/>
    </xf>
    <xf numFmtId="0" fontId="0" fillId="0" borderId="0" xfId="0" applyAlignment="1">
      <alignment horizontal="left" vertical="center" wrapText="1"/>
    </xf>
    <xf numFmtId="176" fontId="3" fillId="2"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176" fontId="3" fillId="2" borderId="3" xfId="0" applyNumberFormat="1" applyFont="1" applyFill="1" applyBorder="1" applyAlignment="1">
      <alignment horizontal="center" vertical="center" wrapText="1"/>
    </xf>
    <xf numFmtId="0" fontId="0" fillId="0" borderId="2" xfId="0" applyFont="1" applyFill="1" applyBorder="1">
      <alignment vertical="center"/>
    </xf>
    <xf numFmtId="176" fontId="0" fillId="0" borderId="2" xfId="0" applyNumberFormat="1" applyFont="1" applyFill="1" applyBorder="1">
      <alignment vertical="center"/>
    </xf>
    <xf numFmtId="0" fontId="0" fillId="0" borderId="0" xfId="0" applyFill="1" applyAlignment="1"/>
    <xf numFmtId="0" fontId="10" fillId="0" borderId="2" xfId="50" applyFont="1" applyBorder="1" applyAlignment="1">
      <alignment horizontal="center" vertical="center" wrapText="1"/>
    </xf>
    <xf numFmtId="0" fontId="11" fillId="0" borderId="2" xfId="50" applyNumberFormat="1" applyFont="1" applyBorder="1" applyAlignment="1">
      <alignment horizontal="center" vertical="center" wrapText="1"/>
    </xf>
    <xf numFmtId="0" fontId="12" fillId="0" borderId="2" xfId="0" applyFont="1" applyFill="1" applyBorder="1" applyAlignment="1">
      <alignment horizontal="justify" vertical="center"/>
    </xf>
    <xf numFmtId="0" fontId="11" fillId="0" borderId="2" xfId="50" applyFont="1" applyFill="1" applyBorder="1" applyAlignment="1">
      <alignment horizontal="left" vertical="center" wrapText="1"/>
    </xf>
    <xf numFmtId="0" fontId="0" fillId="0" borderId="0" xfId="0" applyFill="1" applyAlignment="1">
      <alignment horizontal="center" vertical="center"/>
    </xf>
    <xf numFmtId="9" fontId="0" fillId="0" borderId="0" xfId="3" applyNumberFormat="1" applyFill="1" applyAlignment="1">
      <alignment horizontal="center" vertical="center"/>
    </xf>
    <xf numFmtId="176" fontId="0" fillId="0" borderId="0" xfId="0" applyNumberFormat="1" applyFill="1" applyAlignment="1">
      <alignment horizontal="center" vertical="center"/>
    </xf>
    <xf numFmtId="0" fontId="13" fillId="0" borderId="2" xfId="50" applyFont="1" applyFill="1" applyBorder="1" applyAlignment="1">
      <alignment horizontal="left" vertical="center" wrapText="1"/>
    </xf>
    <xf numFmtId="0" fontId="11" fillId="0" borderId="2" xfId="49" applyFont="1" applyFill="1" applyBorder="1" applyAlignment="1">
      <alignment horizontal="left" vertical="center" wrapText="1"/>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6" fillId="0" borderId="2" xfId="0" applyFont="1" applyFill="1" applyBorder="1" applyAlignment="1">
      <alignment horizontal="center" vertical="center"/>
    </xf>
    <xf numFmtId="176" fontId="16"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vertical="center"/>
    </xf>
    <xf numFmtId="178" fontId="14" fillId="0" borderId="2" xfId="0" applyNumberFormat="1" applyFont="1" applyFill="1" applyBorder="1" applyAlignment="1">
      <alignment horizontal="center" vertical="center"/>
    </xf>
    <xf numFmtId="0" fontId="17" fillId="0" borderId="2" xfId="0" applyFont="1" applyFill="1" applyBorder="1" applyAlignment="1">
      <alignment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178" fontId="14" fillId="0" borderId="2" xfId="0" applyNumberFormat="1" applyFont="1" applyFill="1" applyBorder="1" applyAlignment="1">
      <alignment vertical="center"/>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view="pageBreakPreview" zoomScaleNormal="100" workbookViewId="0">
      <selection activeCell="Q13" sqref="Q12:Q13"/>
    </sheetView>
  </sheetViews>
  <sheetFormatPr defaultColWidth="10" defaultRowHeight="15.6" outlineLevelCol="5"/>
  <cols>
    <col min="1" max="1" width="6.11111111111111" style="54" customWidth="1"/>
    <col min="2" max="2" width="20.6666666666667" style="53" customWidth="1"/>
    <col min="3" max="3" width="25.3333333333333" style="53" customWidth="1"/>
    <col min="4" max="4" width="20.2222222222222" style="55" customWidth="1"/>
    <col min="5" max="5" width="23.2222222222222" style="53" customWidth="1"/>
    <col min="6" max="6" width="19.6666666666667" style="53" customWidth="1"/>
    <col min="7" max="16384" width="10" style="53"/>
  </cols>
  <sheetData>
    <row r="1" s="53" customFormat="1" ht="54" customHeight="1" spans="1:6">
      <c r="A1" s="56" t="s">
        <v>0</v>
      </c>
      <c r="B1" s="57"/>
      <c r="C1" s="57"/>
      <c r="D1" s="58"/>
      <c r="E1" s="57"/>
      <c r="F1" s="57"/>
    </row>
    <row r="2" s="53" customFormat="1" ht="45" customHeight="1" spans="1:6">
      <c r="A2" s="59" t="s">
        <v>1</v>
      </c>
      <c r="B2" s="59" t="s">
        <v>2</v>
      </c>
      <c r="C2" s="59" t="s">
        <v>3</v>
      </c>
      <c r="D2" s="60" t="s">
        <v>4</v>
      </c>
      <c r="E2" s="59" t="s">
        <v>5</v>
      </c>
      <c r="F2" s="59" t="s">
        <v>6</v>
      </c>
    </row>
    <row r="3" s="53" customFormat="1" ht="45" customHeight="1" spans="1:6">
      <c r="A3" s="61">
        <v>1</v>
      </c>
      <c r="B3" s="62" t="s">
        <v>7</v>
      </c>
      <c r="C3" s="63">
        <f>报价清单!G16</f>
        <v>2876374.5642311</v>
      </c>
      <c r="D3" s="63">
        <f>+C3*(1-10.24%)</f>
        <v>2581833.80885384</v>
      </c>
      <c r="E3" s="64"/>
      <c r="F3" s="64"/>
    </row>
    <row r="4" s="53" customFormat="1" ht="45" customHeight="1" spans="1:6">
      <c r="A4" s="65" t="s">
        <v>8</v>
      </c>
      <c r="B4" s="66"/>
      <c r="C4" s="67"/>
      <c r="D4" s="68" t="s">
        <v>9</v>
      </c>
      <c r="E4" s="69"/>
      <c r="F4" s="70"/>
    </row>
    <row r="5" s="53" customFormat="1" ht="45" customHeight="1" spans="1:6">
      <c r="A5" s="71"/>
      <c r="B5" s="72"/>
      <c r="C5" s="73"/>
      <c r="D5" s="68" t="s">
        <v>10</v>
      </c>
      <c r="E5" s="69"/>
      <c r="F5" s="70"/>
    </row>
    <row r="6" s="53" customFormat="1" ht="25" customHeight="1" spans="1:6">
      <c r="A6" s="54"/>
      <c r="B6" s="54"/>
      <c r="C6" s="54"/>
      <c r="D6" s="54"/>
      <c r="E6" s="54"/>
      <c r="F6" s="54"/>
    </row>
    <row r="10" customFormat="1" spans="1:6">
      <c r="A10" s="54"/>
      <c r="B10" s="53"/>
      <c r="C10" s="53"/>
      <c r="D10" s="55"/>
      <c r="E10" s="53"/>
      <c r="F10" s="53"/>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view="pageBreakPreview" zoomScaleNormal="115" topLeftCell="A3" workbookViewId="0">
      <selection activeCell="D6" sqref="D6"/>
    </sheetView>
  </sheetViews>
  <sheetFormatPr defaultColWidth="9" defaultRowHeight="14.4"/>
  <cols>
    <col min="1" max="1" width="5.37037037037037" style="43" customWidth="1"/>
    <col min="2" max="2" width="83.5555555555556" style="43" customWidth="1"/>
    <col min="3" max="5" width="9" style="43"/>
    <col min="6" max="6" width="9.37962962962963" style="43"/>
    <col min="7" max="7" width="12.8888888888889" style="43"/>
    <col min="8" max="242" width="9" style="43"/>
    <col min="243" max="243" width="3" style="43" customWidth="1"/>
    <col min="244" max="244" width="4.62962962962963" style="43" customWidth="1"/>
    <col min="245" max="245" width="85.2685185185185" style="43" customWidth="1"/>
    <col min="246" max="498" width="9" style="43"/>
    <col min="499" max="499" width="3" style="43" customWidth="1"/>
    <col min="500" max="500" width="4.62962962962963" style="43" customWidth="1"/>
    <col min="501" max="501" width="85.2685185185185" style="43" customWidth="1"/>
    <col min="502" max="754" width="9" style="43"/>
    <col min="755" max="755" width="3" style="43" customWidth="1"/>
    <col min="756" max="756" width="4.62962962962963" style="43" customWidth="1"/>
    <col min="757" max="757" width="85.2685185185185" style="43" customWidth="1"/>
    <col min="758" max="1010" width="9" style="43"/>
    <col min="1011" max="1011" width="3" style="43" customWidth="1"/>
    <col min="1012" max="1012" width="4.62962962962963" style="43" customWidth="1"/>
    <col min="1013" max="1013" width="85.2685185185185" style="43" customWidth="1"/>
    <col min="1014" max="1266" width="9" style="43"/>
    <col min="1267" max="1267" width="3" style="43" customWidth="1"/>
    <col min="1268" max="1268" width="4.62962962962963" style="43" customWidth="1"/>
    <col min="1269" max="1269" width="85.2685185185185" style="43" customWidth="1"/>
    <col min="1270" max="1522" width="9" style="43"/>
    <col min="1523" max="1523" width="3" style="43" customWidth="1"/>
    <col min="1524" max="1524" width="4.62962962962963" style="43" customWidth="1"/>
    <col min="1525" max="1525" width="85.2685185185185" style="43" customWidth="1"/>
    <col min="1526" max="1778" width="9" style="43"/>
    <col min="1779" max="1779" width="3" style="43" customWidth="1"/>
    <col min="1780" max="1780" width="4.62962962962963" style="43" customWidth="1"/>
    <col min="1781" max="1781" width="85.2685185185185" style="43" customWidth="1"/>
    <col min="1782" max="2034" width="9" style="43"/>
    <col min="2035" max="2035" width="3" style="43" customWidth="1"/>
    <col min="2036" max="2036" width="4.62962962962963" style="43" customWidth="1"/>
    <col min="2037" max="2037" width="85.2685185185185" style="43" customWidth="1"/>
    <col min="2038" max="2290" width="9" style="43"/>
    <col min="2291" max="2291" width="3" style="43" customWidth="1"/>
    <col min="2292" max="2292" width="4.62962962962963" style="43" customWidth="1"/>
    <col min="2293" max="2293" width="85.2685185185185" style="43" customWidth="1"/>
    <col min="2294" max="2546" width="9" style="43"/>
    <col min="2547" max="2547" width="3" style="43" customWidth="1"/>
    <col min="2548" max="2548" width="4.62962962962963" style="43" customWidth="1"/>
    <col min="2549" max="2549" width="85.2685185185185" style="43" customWidth="1"/>
    <col min="2550" max="2802" width="9" style="43"/>
    <col min="2803" max="2803" width="3" style="43" customWidth="1"/>
    <col min="2804" max="2804" width="4.62962962962963" style="43" customWidth="1"/>
    <col min="2805" max="2805" width="85.2685185185185" style="43" customWidth="1"/>
    <col min="2806" max="3058" width="9" style="43"/>
    <col min="3059" max="3059" width="3" style="43" customWidth="1"/>
    <col min="3060" max="3060" width="4.62962962962963" style="43" customWidth="1"/>
    <col min="3061" max="3061" width="85.2685185185185" style="43" customWidth="1"/>
    <col min="3062" max="3314" width="9" style="43"/>
    <col min="3315" max="3315" width="3" style="43" customWidth="1"/>
    <col min="3316" max="3316" width="4.62962962962963" style="43" customWidth="1"/>
    <col min="3317" max="3317" width="85.2685185185185" style="43" customWidth="1"/>
    <col min="3318" max="3570" width="9" style="43"/>
    <col min="3571" max="3571" width="3" style="43" customWidth="1"/>
    <col min="3572" max="3572" width="4.62962962962963" style="43" customWidth="1"/>
    <col min="3573" max="3573" width="85.2685185185185" style="43" customWidth="1"/>
    <col min="3574" max="3826" width="9" style="43"/>
    <col min="3827" max="3827" width="3" style="43" customWidth="1"/>
    <col min="3828" max="3828" width="4.62962962962963" style="43" customWidth="1"/>
    <col min="3829" max="3829" width="85.2685185185185" style="43" customWidth="1"/>
    <col min="3830" max="4082" width="9" style="43"/>
    <col min="4083" max="4083" width="3" style="43" customWidth="1"/>
    <col min="4084" max="4084" width="4.62962962962963" style="43" customWidth="1"/>
    <col min="4085" max="4085" width="85.2685185185185" style="43" customWidth="1"/>
    <col min="4086" max="4338" width="9" style="43"/>
    <col min="4339" max="4339" width="3" style="43" customWidth="1"/>
    <col min="4340" max="4340" width="4.62962962962963" style="43" customWidth="1"/>
    <col min="4341" max="4341" width="85.2685185185185" style="43" customWidth="1"/>
    <col min="4342" max="4594" width="9" style="43"/>
    <col min="4595" max="4595" width="3" style="43" customWidth="1"/>
    <col min="4596" max="4596" width="4.62962962962963" style="43" customWidth="1"/>
    <col min="4597" max="4597" width="85.2685185185185" style="43" customWidth="1"/>
    <col min="4598" max="4850" width="9" style="43"/>
    <col min="4851" max="4851" width="3" style="43" customWidth="1"/>
    <col min="4852" max="4852" width="4.62962962962963" style="43" customWidth="1"/>
    <col min="4853" max="4853" width="85.2685185185185" style="43" customWidth="1"/>
    <col min="4854" max="5106" width="9" style="43"/>
    <col min="5107" max="5107" width="3" style="43" customWidth="1"/>
    <col min="5108" max="5108" width="4.62962962962963" style="43" customWidth="1"/>
    <col min="5109" max="5109" width="85.2685185185185" style="43" customWidth="1"/>
    <col min="5110" max="5362" width="9" style="43"/>
    <col min="5363" max="5363" width="3" style="43" customWidth="1"/>
    <col min="5364" max="5364" width="4.62962962962963" style="43" customWidth="1"/>
    <col min="5365" max="5365" width="85.2685185185185" style="43" customWidth="1"/>
    <col min="5366" max="5618" width="9" style="43"/>
    <col min="5619" max="5619" width="3" style="43" customWidth="1"/>
    <col min="5620" max="5620" width="4.62962962962963" style="43" customWidth="1"/>
    <col min="5621" max="5621" width="85.2685185185185" style="43" customWidth="1"/>
    <col min="5622" max="5874" width="9" style="43"/>
    <col min="5875" max="5875" width="3" style="43" customWidth="1"/>
    <col min="5876" max="5876" width="4.62962962962963" style="43" customWidth="1"/>
    <col min="5877" max="5877" width="85.2685185185185" style="43" customWidth="1"/>
    <col min="5878" max="6130" width="9" style="43"/>
    <col min="6131" max="6131" width="3" style="43" customWidth="1"/>
    <col min="6132" max="6132" width="4.62962962962963" style="43" customWidth="1"/>
    <col min="6133" max="6133" width="85.2685185185185" style="43" customWidth="1"/>
    <col min="6134" max="6386" width="9" style="43"/>
    <col min="6387" max="6387" width="3" style="43" customWidth="1"/>
    <col min="6388" max="6388" width="4.62962962962963" style="43" customWidth="1"/>
    <col min="6389" max="6389" width="85.2685185185185" style="43" customWidth="1"/>
    <col min="6390" max="6642" width="9" style="43"/>
    <col min="6643" max="6643" width="3" style="43" customWidth="1"/>
    <col min="6644" max="6644" width="4.62962962962963" style="43" customWidth="1"/>
    <col min="6645" max="6645" width="85.2685185185185" style="43" customWidth="1"/>
    <col min="6646" max="6898" width="9" style="43"/>
    <col min="6899" max="6899" width="3" style="43" customWidth="1"/>
    <col min="6900" max="6900" width="4.62962962962963" style="43" customWidth="1"/>
    <col min="6901" max="6901" width="85.2685185185185" style="43" customWidth="1"/>
    <col min="6902" max="7154" width="9" style="43"/>
    <col min="7155" max="7155" width="3" style="43" customWidth="1"/>
    <col min="7156" max="7156" width="4.62962962962963" style="43" customWidth="1"/>
    <col min="7157" max="7157" width="85.2685185185185" style="43" customWidth="1"/>
    <col min="7158" max="7410" width="9" style="43"/>
    <col min="7411" max="7411" width="3" style="43" customWidth="1"/>
    <col min="7412" max="7412" width="4.62962962962963" style="43" customWidth="1"/>
    <col min="7413" max="7413" width="85.2685185185185" style="43" customWidth="1"/>
    <col min="7414" max="7666" width="9" style="43"/>
    <col min="7667" max="7667" width="3" style="43" customWidth="1"/>
    <col min="7668" max="7668" width="4.62962962962963" style="43" customWidth="1"/>
    <col min="7669" max="7669" width="85.2685185185185" style="43" customWidth="1"/>
    <col min="7670" max="7922" width="9" style="43"/>
    <col min="7923" max="7923" width="3" style="43" customWidth="1"/>
    <col min="7924" max="7924" width="4.62962962962963" style="43" customWidth="1"/>
    <col min="7925" max="7925" width="85.2685185185185" style="43" customWidth="1"/>
    <col min="7926" max="8178" width="9" style="43"/>
    <col min="8179" max="8179" width="3" style="43" customWidth="1"/>
    <col min="8180" max="8180" width="4.62962962962963" style="43" customWidth="1"/>
    <col min="8181" max="8181" width="85.2685185185185" style="43" customWidth="1"/>
    <col min="8182" max="8434" width="9" style="43"/>
    <col min="8435" max="8435" width="3" style="43" customWidth="1"/>
    <col min="8436" max="8436" width="4.62962962962963" style="43" customWidth="1"/>
    <col min="8437" max="8437" width="85.2685185185185" style="43" customWidth="1"/>
    <col min="8438" max="8690" width="9" style="43"/>
    <col min="8691" max="8691" width="3" style="43" customWidth="1"/>
    <col min="8692" max="8692" width="4.62962962962963" style="43" customWidth="1"/>
    <col min="8693" max="8693" width="85.2685185185185" style="43" customWidth="1"/>
    <col min="8694" max="8946" width="9" style="43"/>
    <col min="8947" max="8947" width="3" style="43" customWidth="1"/>
    <col min="8948" max="8948" width="4.62962962962963" style="43" customWidth="1"/>
    <col min="8949" max="8949" width="85.2685185185185" style="43" customWidth="1"/>
    <col min="8950" max="9202" width="9" style="43"/>
    <col min="9203" max="9203" width="3" style="43" customWidth="1"/>
    <col min="9204" max="9204" width="4.62962962962963" style="43" customWidth="1"/>
    <col min="9205" max="9205" width="85.2685185185185" style="43" customWidth="1"/>
    <col min="9206" max="9458" width="9" style="43"/>
    <col min="9459" max="9459" width="3" style="43" customWidth="1"/>
    <col min="9460" max="9460" width="4.62962962962963" style="43" customWidth="1"/>
    <col min="9461" max="9461" width="85.2685185185185" style="43" customWidth="1"/>
    <col min="9462" max="9714" width="9" style="43"/>
    <col min="9715" max="9715" width="3" style="43" customWidth="1"/>
    <col min="9716" max="9716" width="4.62962962962963" style="43" customWidth="1"/>
    <col min="9717" max="9717" width="85.2685185185185" style="43" customWidth="1"/>
    <col min="9718" max="9970" width="9" style="43"/>
    <col min="9971" max="9971" width="3" style="43" customWidth="1"/>
    <col min="9972" max="9972" width="4.62962962962963" style="43" customWidth="1"/>
    <col min="9973" max="9973" width="85.2685185185185" style="43" customWidth="1"/>
    <col min="9974" max="10226" width="9" style="43"/>
    <col min="10227" max="10227" width="3" style="43" customWidth="1"/>
    <col min="10228" max="10228" width="4.62962962962963" style="43" customWidth="1"/>
    <col min="10229" max="10229" width="85.2685185185185" style="43" customWidth="1"/>
    <col min="10230" max="10482" width="9" style="43"/>
    <col min="10483" max="10483" width="3" style="43" customWidth="1"/>
    <col min="10484" max="10484" width="4.62962962962963" style="43" customWidth="1"/>
    <col min="10485" max="10485" width="85.2685185185185" style="43" customWidth="1"/>
    <col min="10486" max="10738" width="9" style="43"/>
    <col min="10739" max="10739" width="3" style="43" customWidth="1"/>
    <col min="10740" max="10740" width="4.62962962962963" style="43" customWidth="1"/>
    <col min="10741" max="10741" width="85.2685185185185" style="43" customWidth="1"/>
    <col min="10742" max="10994" width="9" style="43"/>
    <col min="10995" max="10995" width="3" style="43" customWidth="1"/>
    <col min="10996" max="10996" width="4.62962962962963" style="43" customWidth="1"/>
    <col min="10997" max="10997" width="85.2685185185185" style="43" customWidth="1"/>
    <col min="10998" max="11250" width="9" style="43"/>
    <col min="11251" max="11251" width="3" style="43" customWidth="1"/>
    <col min="11252" max="11252" width="4.62962962962963" style="43" customWidth="1"/>
    <col min="11253" max="11253" width="85.2685185185185" style="43" customWidth="1"/>
    <col min="11254" max="11506" width="9" style="43"/>
    <col min="11507" max="11507" width="3" style="43" customWidth="1"/>
    <col min="11508" max="11508" width="4.62962962962963" style="43" customWidth="1"/>
    <col min="11509" max="11509" width="85.2685185185185" style="43" customWidth="1"/>
    <col min="11510" max="11762" width="9" style="43"/>
    <col min="11763" max="11763" width="3" style="43" customWidth="1"/>
    <col min="11764" max="11764" width="4.62962962962963" style="43" customWidth="1"/>
    <col min="11765" max="11765" width="85.2685185185185" style="43" customWidth="1"/>
    <col min="11766" max="12018" width="9" style="43"/>
    <col min="12019" max="12019" width="3" style="43" customWidth="1"/>
    <col min="12020" max="12020" width="4.62962962962963" style="43" customWidth="1"/>
    <col min="12021" max="12021" width="85.2685185185185" style="43" customWidth="1"/>
    <col min="12022" max="12274" width="9" style="43"/>
    <col min="12275" max="12275" width="3" style="43" customWidth="1"/>
    <col min="12276" max="12276" width="4.62962962962963" style="43" customWidth="1"/>
    <col min="12277" max="12277" width="85.2685185185185" style="43" customWidth="1"/>
    <col min="12278" max="12530" width="9" style="43"/>
    <col min="12531" max="12531" width="3" style="43" customWidth="1"/>
    <col min="12532" max="12532" width="4.62962962962963" style="43" customWidth="1"/>
    <col min="12533" max="12533" width="85.2685185185185" style="43" customWidth="1"/>
    <col min="12534" max="12786" width="9" style="43"/>
    <col min="12787" max="12787" width="3" style="43" customWidth="1"/>
    <col min="12788" max="12788" width="4.62962962962963" style="43" customWidth="1"/>
    <col min="12789" max="12789" width="85.2685185185185" style="43" customWidth="1"/>
    <col min="12790" max="13042" width="9" style="43"/>
    <col min="13043" max="13043" width="3" style="43" customWidth="1"/>
    <col min="13044" max="13044" width="4.62962962962963" style="43" customWidth="1"/>
    <col min="13045" max="13045" width="85.2685185185185" style="43" customWidth="1"/>
    <col min="13046" max="13298" width="9" style="43"/>
    <col min="13299" max="13299" width="3" style="43" customWidth="1"/>
    <col min="13300" max="13300" width="4.62962962962963" style="43" customWidth="1"/>
    <col min="13301" max="13301" width="85.2685185185185" style="43" customWidth="1"/>
    <col min="13302" max="13554" width="9" style="43"/>
    <col min="13555" max="13555" width="3" style="43" customWidth="1"/>
    <col min="13556" max="13556" width="4.62962962962963" style="43" customWidth="1"/>
    <col min="13557" max="13557" width="85.2685185185185" style="43" customWidth="1"/>
    <col min="13558" max="13810" width="9" style="43"/>
    <col min="13811" max="13811" width="3" style="43" customWidth="1"/>
    <col min="13812" max="13812" width="4.62962962962963" style="43" customWidth="1"/>
    <col min="13813" max="13813" width="85.2685185185185" style="43" customWidth="1"/>
    <col min="13814" max="14066" width="9" style="43"/>
    <col min="14067" max="14067" width="3" style="43" customWidth="1"/>
    <col min="14068" max="14068" width="4.62962962962963" style="43" customWidth="1"/>
    <col min="14069" max="14069" width="85.2685185185185" style="43" customWidth="1"/>
    <col min="14070" max="14322" width="9" style="43"/>
    <col min="14323" max="14323" width="3" style="43" customWidth="1"/>
    <col min="14324" max="14324" width="4.62962962962963" style="43" customWidth="1"/>
    <col min="14325" max="14325" width="85.2685185185185" style="43" customWidth="1"/>
    <col min="14326" max="14578" width="9" style="43"/>
    <col min="14579" max="14579" width="3" style="43" customWidth="1"/>
    <col min="14580" max="14580" width="4.62962962962963" style="43" customWidth="1"/>
    <col min="14581" max="14581" width="85.2685185185185" style="43" customWidth="1"/>
    <col min="14582" max="14834" width="9" style="43"/>
    <col min="14835" max="14835" width="3" style="43" customWidth="1"/>
    <col min="14836" max="14836" width="4.62962962962963" style="43" customWidth="1"/>
    <col min="14837" max="14837" width="85.2685185185185" style="43" customWidth="1"/>
    <col min="14838" max="15090" width="9" style="43"/>
    <col min="15091" max="15091" width="3" style="43" customWidth="1"/>
    <col min="15092" max="15092" width="4.62962962962963" style="43" customWidth="1"/>
    <col min="15093" max="15093" width="85.2685185185185" style="43" customWidth="1"/>
    <col min="15094" max="15346" width="9" style="43"/>
    <col min="15347" max="15347" width="3" style="43" customWidth="1"/>
    <col min="15348" max="15348" width="4.62962962962963" style="43" customWidth="1"/>
    <col min="15349" max="15349" width="85.2685185185185" style="43" customWidth="1"/>
    <col min="15350" max="15602" width="9" style="43"/>
    <col min="15603" max="15603" width="3" style="43" customWidth="1"/>
    <col min="15604" max="15604" width="4.62962962962963" style="43" customWidth="1"/>
    <col min="15605" max="15605" width="85.2685185185185" style="43" customWidth="1"/>
    <col min="15606" max="15858" width="9" style="43"/>
    <col min="15859" max="15859" width="3" style="43" customWidth="1"/>
    <col min="15860" max="15860" width="4.62962962962963" style="43" customWidth="1"/>
    <col min="15861" max="15861" width="85.2685185185185" style="43" customWidth="1"/>
    <col min="15862" max="16114" width="9" style="43"/>
    <col min="16115" max="16115" width="3" style="43" customWidth="1"/>
    <col min="16116" max="16116" width="4.62962962962963" style="43" customWidth="1"/>
    <col min="16117" max="16117" width="85.2685185185185" style="43" customWidth="1"/>
    <col min="16118" max="16384" width="9" style="43"/>
  </cols>
  <sheetData>
    <row r="1" s="43" customFormat="1" ht="26.15" customHeight="1" spans="1:2">
      <c r="A1" s="44" t="s">
        <v>11</v>
      </c>
      <c r="B1" s="44"/>
    </row>
    <row r="2" s="43" customFormat="1" ht="26.15" customHeight="1" spans="1:2">
      <c r="A2" s="45">
        <v>1</v>
      </c>
      <c r="B2" s="46" t="s">
        <v>12</v>
      </c>
    </row>
    <row r="3" s="43" customFormat="1" ht="88" customHeight="1" spans="1:2">
      <c r="A3" s="45">
        <v>2</v>
      </c>
      <c r="B3" s="46" t="s">
        <v>13</v>
      </c>
    </row>
    <row r="4" s="43" customFormat="1" ht="22" customHeight="1" spans="1:2">
      <c r="A4" s="45">
        <v>3</v>
      </c>
      <c r="B4" s="46" t="s">
        <v>14</v>
      </c>
    </row>
    <row r="5" s="43" customFormat="1" ht="163" customHeight="1" spans="1:9">
      <c r="A5" s="45">
        <v>4</v>
      </c>
      <c r="B5" s="47" t="s">
        <v>15</v>
      </c>
      <c r="C5" s="48"/>
      <c r="D5" s="48"/>
      <c r="E5" s="48"/>
      <c r="F5" s="48"/>
      <c r="G5" s="49"/>
      <c r="H5" s="50"/>
      <c r="I5" s="48"/>
    </row>
    <row r="6" s="43" customFormat="1" ht="47" customHeight="1" spans="1:2">
      <c r="A6" s="45">
        <v>5</v>
      </c>
      <c r="B6" s="51" t="s">
        <v>16</v>
      </c>
    </row>
    <row r="7" s="43" customFormat="1" ht="37" customHeight="1" spans="1:6">
      <c r="A7" s="45">
        <v>6</v>
      </c>
      <c r="B7" s="52" t="s">
        <v>17</v>
      </c>
      <c r="F7" s="43" t="s">
        <v>18</v>
      </c>
    </row>
    <row r="8" s="43" customFormat="1" ht="38" customHeight="1" spans="1:2">
      <c r="A8" s="45">
        <v>7</v>
      </c>
      <c r="B8" s="52" t="s">
        <v>19</v>
      </c>
    </row>
    <row r="9" s="43" customFormat="1" ht="49" customHeight="1" spans="1:2">
      <c r="A9" s="45">
        <v>8</v>
      </c>
      <c r="B9" s="52" t="s">
        <v>20</v>
      </c>
    </row>
    <row r="10" s="43" customFormat="1" ht="34" customHeight="1" spans="1:2">
      <c r="A10" s="45">
        <v>9</v>
      </c>
      <c r="B10" s="52" t="s">
        <v>21</v>
      </c>
    </row>
    <row r="11" s="43" customFormat="1" ht="24" customHeight="1" spans="1:2">
      <c r="A11" s="45">
        <v>10</v>
      </c>
      <c r="B11" s="52" t="s">
        <v>22</v>
      </c>
    </row>
    <row r="12" s="43" customFormat="1" ht="24" customHeight="1" spans="1:2">
      <c r="A12" s="45">
        <v>11</v>
      </c>
      <c r="B12" s="52" t="s">
        <v>23</v>
      </c>
    </row>
  </sheetData>
  <mergeCells count="1">
    <mergeCell ref="A1:B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view="pageBreakPreview" zoomScaleNormal="100" workbookViewId="0">
      <pane ySplit="3" topLeftCell="A4" activePane="bottomLeft" state="frozen"/>
      <selection/>
      <selection pane="bottomLeft" activeCell="S3" sqref="S3"/>
    </sheetView>
  </sheetViews>
  <sheetFormatPr defaultColWidth="9" defaultRowHeight="14.4"/>
  <cols>
    <col min="1" max="1" width="9" style="1"/>
    <col min="2" max="2" width="26.8796296296296" style="2" customWidth="1"/>
    <col min="3" max="3" width="13.1296296296296" style="3" customWidth="1"/>
    <col min="4" max="4" width="8.62037037037037" style="3" customWidth="1"/>
    <col min="5" max="5" width="19.1296296296296" style="4" customWidth="1"/>
    <col min="6" max="6" width="12.75" style="4" customWidth="1"/>
    <col min="7" max="7" width="15.2222222222222" style="4" customWidth="1"/>
    <col min="8" max="8" width="14.3796296296296" style="5" hidden="1" customWidth="1" outlineLevel="1"/>
    <col min="9" max="10" width="12.1296296296296" style="1" hidden="1" customWidth="1" outlineLevel="1"/>
    <col min="11" max="11" width="12.0462962962963" style="4" hidden="1" customWidth="1" outlineLevel="1"/>
    <col min="12" max="12" width="13.25" style="4" hidden="1" customWidth="1" outlineLevel="1"/>
    <col min="13" max="13" width="9" style="1" hidden="1" customWidth="1" collapsed="1"/>
    <col min="14" max="14" width="9" style="1" hidden="1" customWidth="1"/>
    <col min="15" max="16384" width="9" style="1"/>
  </cols>
  <sheetData>
    <row r="1" ht="29" customHeight="1" spans="1:12">
      <c r="A1" s="6" t="s">
        <v>24</v>
      </c>
      <c r="B1" s="6"/>
      <c r="C1" s="6"/>
      <c r="D1" s="6"/>
      <c r="E1" s="6"/>
      <c r="F1" s="6"/>
      <c r="G1" s="6"/>
      <c r="H1" s="7"/>
      <c r="I1" s="6"/>
      <c r="J1" s="6"/>
      <c r="K1" s="6"/>
      <c r="L1" s="6"/>
    </row>
    <row r="2" ht="21" customHeight="1" spans="1:13">
      <c r="A2" s="8" t="s">
        <v>1</v>
      </c>
      <c r="B2" s="9" t="s">
        <v>25</v>
      </c>
      <c r="C2" s="9" t="s">
        <v>26</v>
      </c>
      <c r="D2" s="9" t="s">
        <v>27</v>
      </c>
      <c r="E2" s="10" t="s">
        <v>28</v>
      </c>
      <c r="F2" s="11" t="s">
        <v>29</v>
      </c>
      <c r="G2" s="11"/>
      <c r="H2" s="12" t="s">
        <v>30</v>
      </c>
      <c r="I2" s="38" t="s">
        <v>31</v>
      </c>
      <c r="J2" s="38" t="s">
        <v>32</v>
      </c>
      <c r="K2" s="38" t="s">
        <v>33</v>
      </c>
      <c r="L2" s="38" t="s">
        <v>34</v>
      </c>
      <c r="M2" s="39"/>
    </row>
    <row r="3" ht="40" customHeight="1" spans="1:13">
      <c r="A3" s="13"/>
      <c r="B3" s="9"/>
      <c r="C3" s="9"/>
      <c r="D3" s="9"/>
      <c r="E3" s="10"/>
      <c r="F3" s="10" t="s">
        <v>35</v>
      </c>
      <c r="G3" s="10" t="s">
        <v>34</v>
      </c>
      <c r="H3" s="14"/>
      <c r="I3" s="40"/>
      <c r="J3" s="40"/>
      <c r="K3" s="40"/>
      <c r="L3" s="40"/>
      <c r="M3" s="39"/>
    </row>
    <row r="4" s="1" customFormat="1" spans="1:12">
      <c r="A4" s="15">
        <v>1</v>
      </c>
      <c r="B4" s="16" t="s">
        <v>36</v>
      </c>
      <c r="C4" s="17" t="s">
        <v>37</v>
      </c>
      <c r="D4" s="17" t="s">
        <v>38</v>
      </c>
      <c r="E4" s="18">
        <f>72.192+484.555+941.85</f>
        <v>1498.597</v>
      </c>
      <c r="F4" s="19">
        <v>107.74</v>
      </c>
      <c r="G4" s="20">
        <f>F4*E4</f>
        <v>161458.84078</v>
      </c>
      <c r="H4" s="21">
        <f>8.9*10^-6*(4*25+1*16)</f>
        <v>0.0010324</v>
      </c>
      <c r="I4" s="41">
        <v>64760</v>
      </c>
      <c r="J4" s="19">
        <v>107.74</v>
      </c>
      <c r="K4" s="42">
        <f>J4+(I4-64760)*H4</f>
        <v>107.74</v>
      </c>
      <c r="L4" s="42">
        <f>K4*E4</f>
        <v>161458.84078</v>
      </c>
    </row>
    <row r="5" s="1" customFormat="1" spans="1:12">
      <c r="A5" s="15">
        <v>2</v>
      </c>
      <c r="B5" s="16" t="s">
        <v>39</v>
      </c>
      <c r="C5" s="17" t="s">
        <v>37</v>
      </c>
      <c r="D5" s="17" t="s">
        <v>38</v>
      </c>
      <c r="E5" s="18">
        <f>107.244+386.935+91.0225+63.58+395.14+127.1+703.30375</f>
        <v>1874.32525</v>
      </c>
      <c r="F5" s="19">
        <v>142.06</v>
      </c>
      <c r="G5" s="20">
        <f>F5*E5</f>
        <v>266266.645015</v>
      </c>
      <c r="H5" s="21">
        <f>8.9*10^-6*(4*35+1*16)</f>
        <v>0.0013884</v>
      </c>
      <c r="I5" s="41">
        <v>64760</v>
      </c>
      <c r="J5" s="19">
        <v>142.06</v>
      </c>
      <c r="K5" s="42">
        <f t="shared" ref="K5:K13" si="0">J5+(I5-64760)*H5</f>
        <v>142.06</v>
      </c>
      <c r="L5" s="42">
        <f>K5*E5</f>
        <v>266266.645015</v>
      </c>
    </row>
    <row r="6" s="1" customFormat="1" spans="1:12">
      <c r="A6" s="15">
        <v>3</v>
      </c>
      <c r="B6" s="22" t="s">
        <v>40</v>
      </c>
      <c r="C6" s="17" t="s">
        <v>37</v>
      </c>
      <c r="D6" s="17" t="s">
        <v>38</v>
      </c>
      <c r="E6" s="18">
        <f>358.345+85.11+416.847+1246.36925+465.50375</f>
        <v>2572.175</v>
      </c>
      <c r="F6" s="19">
        <v>544.22</v>
      </c>
      <c r="G6" s="20">
        <f>F6*E6</f>
        <v>1399829.0785</v>
      </c>
      <c r="H6" s="21">
        <f>8.9*10^-6*(4*150+1*70)</f>
        <v>0.005963</v>
      </c>
      <c r="I6" s="41">
        <v>64760</v>
      </c>
      <c r="J6" s="19">
        <v>544.22</v>
      </c>
      <c r="K6" s="42">
        <f t="shared" si="0"/>
        <v>544.22</v>
      </c>
      <c r="L6" s="42">
        <f>K6*E6</f>
        <v>1399829.0785</v>
      </c>
    </row>
    <row r="7" s="1" customFormat="1" spans="1:12">
      <c r="A7" s="15">
        <v>4</v>
      </c>
      <c r="B7" s="22" t="s">
        <v>41</v>
      </c>
      <c r="C7" s="17" t="s">
        <v>37</v>
      </c>
      <c r="D7" s="17" t="s">
        <v>38</v>
      </c>
      <c r="E7" s="18">
        <f>272.9625+207.73+602.8025</f>
        <v>1083.495</v>
      </c>
      <c r="F7" s="19">
        <v>258.35</v>
      </c>
      <c r="G7" s="20">
        <f>F7*E7</f>
        <v>279920.93325</v>
      </c>
      <c r="H7" s="21">
        <f>8.9*10^-6*(4*70+1*35)</f>
        <v>0.0028035</v>
      </c>
      <c r="I7" s="41">
        <v>64760</v>
      </c>
      <c r="J7" s="19">
        <v>258.35</v>
      </c>
      <c r="K7" s="42">
        <f t="shared" si="0"/>
        <v>258.35</v>
      </c>
      <c r="L7" s="42">
        <f>K7*E7</f>
        <v>279920.93325</v>
      </c>
    </row>
    <row r="8" s="1" customFormat="1" spans="1:12">
      <c r="A8" s="15">
        <v>5</v>
      </c>
      <c r="B8" s="22" t="s">
        <v>42</v>
      </c>
      <c r="C8" s="17" t="s">
        <v>37</v>
      </c>
      <c r="D8" s="17" t="s">
        <v>38</v>
      </c>
      <c r="E8" s="18">
        <v>419.3575</v>
      </c>
      <c r="F8" s="19">
        <v>352.28</v>
      </c>
      <c r="G8" s="20">
        <f t="shared" ref="G8:G13" si="1">F8*E8</f>
        <v>147731.2601</v>
      </c>
      <c r="H8" s="21">
        <f>8.9*10^-6*(4*95+1*50)</f>
        <v>0.003827</v>
      </c>
      <c r="I8" s="41">
        <v>64760</v>
      </c>
      <c r="J8" s="19">
        <v>352.28</v>
      </c>
      <c r="K8" s="42">
        <f t="shared" si="0"/>
        <v>352.28</v>
      </c>
      <c r="L8" s="42">
        <f t="shared" ref="L8:L13" si="2">K8*E8</f>
        <v>147731.2601</v>
      </c>
    </row>
    <row r="9" s="1" customFormat="1" spans="1:12">
      <c r="A9" s="15">
        <v>6</v>
      </c>
      <c r="B9" s="16" t="s">
        <v>43</v>
      </c>
      <c r="C9" s="17" t="s">
        <v>37</v>
      </c>
      <c r="D9" s="17" t="s">
        <v>38</v>
      </c>
      <c r="E9" s="18">
        <f>254.674</f>
        <v>254.674</v>
      </c>
      <c r="F9" s="19">
        <v>48.64</v>
      </c>
      <c r="G9" s="20">
        <f t="shared" si="1"/>
        <v>12387.34336</v>
      </c>
      <c r="H9" s="21">
        <f>8.9*10^-6*(5*10)</f>
        <v>0.000445</v>
      </c>
      <c r="I9" s="41">
        <v>64760</v>
      </c>
      <c r="J9" s="19">
        <v>48.64</v>
      </c>
      <c r="K9" s="42">
        <f t="shared" si="0"/>
        <v>48.64</v>
      </c>
      <c r="L9" s="42">
        <f t="shared" si="2"/>
        <v>12387.34336</v>
      </c>
    </row>
    <row r="10" s="1" customFormat="1" spans="1:12">
      <c r="A10" s="15">
        <v>7</v>
      </c>
      <c r="B10" s="16" t="s">
        <v>44</v>
      </c>
      <c r="C10" s="17" t="s">
        <v>37</v>
      </c>
      <c r="D10" s="17" t="s">
        <v>38</v>
      </c>
      <c r="E10" s="18">
        <f>432.213+1429.36725+319.77</f>
        <v>2181.35025</v>
      </c>
      <c r="F10" s="19">
        <v>74.58</v>
      </c>
      <c r="G10" s="20">
        <f t="shared" si="1"/>
        <v>162685.101645</v>
      </c>
      <c r="H10" s="21">
        <f>8.9*10^-6*(5*16)</f>
        <v>0.000712</v>
      </c>
      <c r="I10" s="41">
        <v>64760</v>
      </c>
      <c r="J10" s="19">
        <v>74.58</v>
      </c>
      <c r="K10" s="42">
        <f t="shared" si="0"/>
        <v>74.58</v>
      </c>
      <c r="L10" s="42">
        <f t="shared" si="2"/>
        <v>162685.101645</v>
      </c>
    </row>
    <row r="11" s="1" customFormat="1" spans="1:12">
      <c r="A11" s="15">
        <v>8</v>
      </c>
      <c r="B11" s="16" t="s">
        <v>45</v>
      </c>
      <c r="C11" s="17" t="s">
        <v>37</v>
      </c>
      <c r="D11" s="17" t="s">
        <v>38</v>
      </c>
      <c r="E11" s="18">
        <f>15.06+1032.085+126.29</f>
        <v>1173.435</v>
      </c>
      <c r="F11" s="19">
        <v>30.29</v>
      </c>
      <c r="G11" s="20">
        <f t="shared" si="1"/>
        <v>35543.34615</v>
      </c>
      <c r="H11" s="21">
        <f>8.9*10^-6*(5*6)</f>
        <v>0.000267</v>
      </c>
      <c r="I11" s="41">
        <v>64760</v>
      </c>
      <c r="J11" s="19">
        <v>30.29</v>
      </c>
      <c r="K11" s="42">
        <f t="shared" si="0"/>
        <v>30.29</v>
      </c>
      <c r="L11" s="42">
        <f t="shared" si="2"/>
        <v>35543.34615</v>
      </c>
    </row>
    <row r="12" s="1" customFormat="1" spans="1:12">
      <c r="A12" s="15">
        <v>9</v>
      </c>
      <c r="B12" s="16" t="s">
        <v>46</v>
      </c>
      <c r="C12" s="17" t="s">
        <v>37</v>
      </c>
      <c r="D12" s="17" t="s">
        <v>38</v>
      </c>
      <c r="E12" s="18">
        <f>3077.533+207.06</f>
        <v>3284.593</v>
      </c>
      <c r="F12" s="19">
        <v>21.91</v>
      </c>
      <c r="G12" s="20">
        <f t="shared" si="1"/>
        <v>71965.43263</v>
      </c>
      <c r="H12" s="21">
        <f>8.9*10^-6*(5*4)</f>
        <v>0.000178</v>
      </c>
      <c r="I12" s="41">
        <v>64760</v>
      </c>
      <c r="J12" s="19">
        <v>21.91</v>
      </c>
      <c r="K12" s="42">
        <f t="shared" si="0"/>
        <v>21.91</v>
      </c>
      <c r="L12" s="42">
        <f t="shared" si="2"/>
        <v>71965.43263</v>
      </c>
    </row>
    <row r="13" s="1" customFormat="1" spans="1:12">
      <c r="A13" s="15">
        <v>10</v>
      </c>
      <c r="B13" s="23" t="s">
        <v>47</v>
      </c>
      <c r="C13" s="17" t="s">
        <v>37</v>
      </c>
      <c r="D13" s="17" t="s">
        <v>38</v>
      </c>
      <c r="E13" s="24">
        <f>349.471716+109.964+63.825</f>
        <v>523.260716</v>
      </c>
      <c r="F13" s="25">
        <v>14.67</v>
      </c>
      <c r="G13" s="20">
        <f t="shared" si="1"/>
        <v>7676.23470372</v>
      </c>
      <c r="H13" s="21">
        <f>8.9*10^-6*(3*2.5)</f>
        <v>6.675e-5</v>
      </c>
      <c r="I13" s="41">
        <v>64760</v>
      </c>
      <c r="J13" s="25">
        <f>F13</f>
        <v>14.67</v>
      </c>
      <c r="K13" s="42">
        <f t="shared" si="0"/>
        <v>14.67</v>
      </c>
      <c r="L13" s="42">
        <f t="shared" si="2"/>
        <v>7676.23470372</v>
      </c>
    </row>
    <row r="14" ht="22" customHeight="1" spans="1:12">
      <c r="A14" s="26"/>
      <c r="B14" s="27"/>
      <c r="C14" s="26"/>
      <c r="D14" s="26"/>
      <c r="E14" s="18">
        <f>SUM(E4:E13)</f>
        <v>14865.262716</v>
      </c>
      <c r="F14" s="25"/>
      <c r="G14" s="28">
        <f>SUM(G4:G13)</f>
        <v>2545464.21613372</v>
      </c>
      <c r="H14" s="21"/>
      <c r="I14" s="41"/>
      <c r="J14" s="41"/>
      <c r="K14" s="42"/>
      <c r="L14" s="18">
        <f>SUM(L4:L13)</f>
        <v>2545464.21613372</v>
      </c>
    </row>
    <row r="15" ht="27" customHeight="1" spans="1:12">
      <c r="A15" s="29" t="s">
        <v>48</v>
      </c>
      <c r="B15" s="30"/>
      <c r="C15" s="30"/>
      <c r="D15" s="30"/>
      <c r="E15" s="31"/>
      <c r="F15" s="32"/>
      <c r="G15" s="33">
        <f>G14*13%</f>
        <v>330910.348097384</v>
      </c>
      <c r="H15" s="21"/>
      <c r="I15" s="29" t="s">
        <v>48</v>
      </c>
      <c r="J15" s="30"/>
      <c r="K15" s="31"/>
      <c r="L15" s="42">
        <f>L14*13%</f>
        <v>330910.348097384</v>
      </c>
    </row>
    <row r="16" ht="33" customHeight="1" spans="1:12">
      <c r="A16" s="29" t="s">
        <v>49</v>
      </c>
      <c r="B16" s="30"/>
      <c r="C16" s="30"/>
      <c r="D16" s="30"/>
      <c r="E16" s="31"/>
      <c r="F16" s="32"/>
      <c r="G16" s="33">
        <f>G14+G15</f>
        <v>2876374.5642311</v>
      </c>
      <c r="H16" s="21"/>
      <c r="I16" s="29" t="s">
        <v>49</v>
      </c>
      <c r="J16" s="30"/>
      <c r="K16" s="31"/>
      <c r="L16" s="42">
        <f>L14+L15</f>
        <v>2876374.5642311</v>
      </c>
    </row>
    <row r="17" ht="255" customHeight="1" spans="1:12">
      <c r="A17" s="34" t="s">
        <v>50</v>
      </c>
      <c r="B17" s="35"/>
      <c r="C17" s="35"/>
      <c r="D17" s="35"/>
      <c r="E17" s="35"/>
      <c r="F17" s="35"/>
      <c r="G17" s="35"/>
      <c r="H17" s="36"/>
      <c r="I17" s="35"/>
      <c r="J17" s="35"/>
      <c r="K17" s="35"/>
      <c r="L17" s="35"/>
    </row>
    <row r="22" spans="2:7">
      <c r="B22" s="37"/>
      <c r="C22" s="37"/>
      <c r="D22" s="37"/>
      <c r="E22" s="37"/>
      <c r="F22" s="37"/>
      <c r="G22" s="37"/>
    </row>
    <row r="23" spans="2:7">
      <c r="B23" s="37"/>
      <c r="C23" s="37"/>
      <c r="D23" s="37"/>
      <c r="E23" s="37"/>
      <c r="F23" s="37"/>
      <c r="G23" s="37"/>
    </row>
    <row r="24" spans="2:7">
      <c r="B24" s="37"/>
      <c r="C24" s="37"/>
      <c r="D24" s="37"/>
      <c r="E24" s="37"/>
      <c r="F24" s="37"/>
      <c r="G24" s="37"/>
    </row>
    <row r="25" spans="2:7">
      <c r="B25" s="37"/>
      <c r="C25" s="37"/>
      <c r="D25" s="37"/>
      <c r="E25" s="37"/>
      <c r="F25" s="37"/>
      <c r="G25" s="37"/>
    </row>
  </sheetData>
  <autoFilter ref="A3:G17">
    <extLst/>
  </autoFilter>
  <mergeCells count="23">
    <mergeCell ref="A1:L1"/>
    <mergeCell ref="F2:G2"/>
    <mergeCell ref="A14:D14"/>
    <mergeCell ref="A15:E15"/>
    <mergeCell ref="I15:K15"/>
    <mergeCell ref="A16:E16"/>
    <mergeCell ref="I16:K16"/>
    <mergeCell ref="A17:L17"/>
    <mergeCell ref="B22:G22"/>
    <mergeCell ref="B23:G23"/>
    <mergeCell ref="B24:G24"/>
    <mergeCell ref="B25:G25"/>
    <mergeCell ref="A2:A3"/>
    <mergeCell ref="B2:B3"/>
    <mergeCell ref="C2:C3"/>
    <mergeCell ref="D2:D3"/>
    <mergeCell ref="E2:E3"/>
    <mergeCell ref="H2:H3"/>
    <mergeCell ref="I2:I3"/>
    <mergeCell ref="J2:J3"/>
    <mergeCell ref="K2:K3"/>
    <mergeCell ref="L2:L3"/>
    <mergeCell ref="M2:M3"/>
  </mergeCell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2023-10-13T04:26:27Z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