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2375" firstSheet="1" activeTab="1"/>
  </bookViews>
  <sheets>
    <sheet name="石材预算" sheetId="1" state="hidden" r:id="rId1"/>
    <sheet name="清单" sheetId="3" r:id="rId2"/>
  </sheets>
  <calcPr calcId="144525"/>
</workbook>
</file>

<file path=xl/sharedStrings.xml><?xml version="1.0" encoding="utf-8"?>
<sst xmlns="http://schemas.openxmlformats.org/spreadsheetml/2006/main" count="957" uniqueCount="239">
  <si>
    <t>会议中心</t>
  </si>
  <si>
    <t>负一层</t>
  </si>
  <si>
    <t>一层</t>
  </si>
  <si>
    <t>二层</t>
  </si>
  <si>
    <t>三层</t>
  </si>
  <si>
    <t>四层</t>
  </si>
  <si>
    <t>之源</t>
  </si>
  <si>
    <t>佰石特</t>
  </si>
  <si>
    <t>龙美达</t>
  </si>
  <si>
    <t>慧讯网</t>
  </si>
  <si>
    <t>高时</t>
  </si>
  <si>
    <t>环球</t>
  </si>
  <si>
    <t>材料编号</t>
  </si>
  <si>
    <t>材料名称</t>
  </si>
  <si>
    <t>单位</t>
  </si>
  <si>
    <t>数量</t>
  </si>
  <si>
    <t>包损耗数量</t>
  </si>
  <si>
    <t>数量总计</t>
  </si>
  <si>
    <t>包损耗数量总计</t>
  </si>
  <si>
    <t>预算单价</t>
  </si>
  <si>
    <t>预算合价</t>
  </si>
  <si>
    <t>楼层</t>
  </si>
  <si>
    <t>使用部位</t>
  </si>
  <si>
    <t>不包损耗数量</t>
  </si>
  <si>
    <t>预算价</t>
  </si>
  <si>
    <t>备注</t>
  </si>
  <si>
    <t>含税价单价</t>
  </si>
  <si>
    <t>含税合价</t>
  </si>
  <si>
    <t>S-09</t>
  </si>
  <si>
    <r>
      <rPr>
        <sz val="10"/>
        <rFont val="宋体"/>
        <charset val="134"/>
      </rPr>
      <t>德国灰大理石</t>
    </r>
    <r>
      <rPr>
        <sz val="10"/>
        <rFont val="Arial"/>
        <charset val="134"/>
      </rPr>
      <t>25mm</t>
    </r>
  </si>
  <si>
    <t>m2</t>
  </si>
  <si>
    <t>负1层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</si>
  <si>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包房一、二（</t>
    </r>
    <r>
      <rPr>
        <sz val="10"/>
        <rFont val="Arial"/>
        <charset val="134"/>
      </rPr>
      <t>VIP</t>
    </r>
    <r>
      <rPr>
        <sz val="10"/>
        <rFont val="宋体"/>
        <charset val="134"/>
      </rPr>
      <t>包房）</t>
    </r>
  </si>
  <si>
    <t>门槛石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</si>
  <si>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区（包房餐厅三四五）</t>
    </r>
  </si>
  <si>
    <t>C区（包房餐厅六；包房餐厅六卫生间）</t>
  </si>
  <si>
    <r>
      <rPr>
        <sz val="10"/>
        <rFont val="Arial"/>
        <charset val="134"/>
      </rPr>
      <t>D</t>
    </r>
    <r>
      <rPr>
        <sz val="10"/>
        <rFont val="宋体"/>
        <charset val="134"/>
      </rPr>
      <t>区（包房五</t>
    </r>
    <r>
      <rPr>
        <sz val="10"/>
        <rFont val="Arial"/>
        <charset val="134"/>
      </rPr>
      <t>~</t>
    </r>
    <r>
      <rPr>
        <sz val="10"/>
        <rFont val="宋体"/>
        <charset val="134"/>
      </rPr>
      <t>十；包房五</t>
    </r>
    <r>
      <rPr>
        <sz val="10"/>
        <rFont val="Arial"/>
        <charset val="134"/>
      </rPr>
      <t>~</t>
    </r>
    <r>
      <rPr>
        <sz val="10"/>
        <rFont val="宋体"/>
        <charset val="134"/>
      </rPr>
      <t>十卫生间，包房备餐间</t>
    </r>
    <r>
      <rPr>
        <sz val="10"/>
        <rFont val="Arial"/>
        <charset val="134"/>
      </rPr>
      <t>1~4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</si>
  <si>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E</t>
    </r>
    <r>
      <rPr>
        <sz val="10"/>
        <rFont val="宋体"/>
        <charset val="134"/>
      </rPr>
      <t>区（中餐厅</t>
    </r>
    <r>
      <rPr>
        <sz val="10"/>
        <rFont val="Arial"/>
        <charset val="134"/>
      </rPr>
      <t>;</t>
    </r>
    <r>
      <rPr>
        <sz val="10"/>
        <rFont val="宋体"/>
        <charset val="134"/>
      </rPr>
      <t>卫生间</t>
    </r>
    <r>
      <rPr>
        <sz val="10"/>
        <rFont val="Arial"/>
        <charset val="134"/>
      </rPr>
      <t>1~2</t>
    </r>
    <r>
      <rPr>
        <sz val="10"/>
        <rFont val="宋体"/>
        <charset val="134"/>
      </rPr>
      <t>；音控室；备餐间）</t>
    </r>
  </si>
  <si>
    <t>过道1~3</t>
  </si>
  <si>
    <t>1层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</si>
  <si>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宴会前厅</t>
    </r>
  </si>
  <si>
    <t>C区 前厅</t>
  </si>
  <si>
    <r>
      <rPr>
        <sz val="10"/>
        <rFont val="Arial"/>
        <charset val="134"/>
      </rPr>
      <t>D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休息室</t>
    </r>
  </si>
  <si>
    <r>
      <rPr>
        <sz val="10"/>
        <rFont val="Arial"/>
        <charset val="134"/>
      </rPr>
      <t>E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观景廊</t>
    </r>
  </si>
  <si>
    <t>F区 贵宾室</t>
  </si>
  <si>
    <r>
      <rPr>
        <sz val="10"/>
        <rFont val="Arial"/>
        <charset val="134"/>
      </rPr>
      <t>J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门厅</t>
    </r>
    <r>
      <rPr>
        <sz val="10"/>
        <rFont val="Arial"/>
        <charset val="134"/>
      </rPr>
      <t>/</t>
    </r>
    <r>
      <rPr>
        <sz val="10"/>
        <rFont val="宋体"/>
        <charset val="134"/>
      </rPr>
      <t>通廊</t>
    </r>
  </si>
  <si>
    <t>K区 中餐厅</t>
  </si>
  <si>
    <r>
      <rPr>
        <sz val="10"/>
        <rFont val="Arial"/>
        <charset val="134"/>
      </rPr>
      <t>J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门厅</t>
    </r>
    <r>
      <rPr>
        <sz val="10"/>
        <rFont val="Arial"/>
        <charset val="134"/>
      </rPr>
      <t>/</t>
    </r>
    <r>
      <rPr>
        <sz val="10"/>
        <rFont val="宋体"/>
        <charset val="134"/>
      </rPr>
      <t>通廊，楼梯</t>
    </r>
  </si>
  <si>
    <t>2层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</si>
  <si>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</t>
    </r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</si>
  <si>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</t>
    </r>
  </si>
  <si>
    <t>C区</t>
  </si>
  <si>
    <t>3层</t>
  </si>
  <si>
    <t>A区</t>
  </si>
  <si>
    <t>B区</t>
  </si>
  <si>
    <t>4层</t>
  </si>
  <si>
    <t>四层贵宾厅</t>
  </si>
  <si>
    <t>S-08</t>
  </si>
  <si>
    <t>卫生间门槛石</t>
  </si>
  <si>
    <t>G区 卫生间</t>
  </si>
  <si>
    <t>H区 卫生间</t>
  </si>
  <si>
    <t>S-01</t>
  </si>
  <si>
    <t>S-01灰色石材开介拼贴 25mm</t>
  </si>
  <si>
    <r>
      <rPr>
        <sz val="10"/>
        <rFont val="Arial"/>
        <charset val="134"/>
      </rPr>
      <t>F</t>
    </r>
    <r>
      <rPr>
        <sz val="10"/>
        <rFont val="宋体"/>
        <charset val="134"/>
      </rPr>
      <t>区（餐饮门厅）</t>
    </r>
  </si>
  <si>
    <t>地面</t>
  </si>
  <si>
    <t>Ｂ区</t>
  </si>
  <si>
    <t>新鱼肚灰大理石25mm</t>
  </si>
  <si>
    <t>墙面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</si>
  <si>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区台阶</t>
    </r>
  </si>
  <si>
    <t>台阶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</si>
  <si>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区零星</t>
    </r>
  </si>
  <si>
    <t>零星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</si>
  <si>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区窗台石</t>
    </r>
  </si>
  <si>
    <t>窗台石</t>
  </si>
  <si>
    <t>伊雅灰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</si>
  <si>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区楼梯面</t>
    </r>
  </si>
  <si>
    <t>楼梯面</t>
  </si>
  <si>
    <t>新鱼肚灰大理石（脚线）25mm</t>
  </si>
  <si>
    <t>踢脚线</t>
  </si>
  <si>
    <t>S-02</t>
  </si>
  <si>
    <t>白色石材花造型</t>
  </si>
  <si>
    <t>个</t>
  </si>
  <si>
    <t>S-03</t>
  </si>
  <si>
    <t>米黄色石材25mm</t>
  </si>
  <si>
    <t>ST-03</t>
  </si>
  <si>
    <t>彩虹木纹大理石25mm</t>
  </si>
  <si>
    <t>暗门</t>
  </si>
  <si>
    <t>ST-04</t>
  </si>
  <si>
    <r>
      <rPr>
        <sz val="10"/>
        <rFont val="宋体"/>
        <charset val="134"/>
      </rPr>
      <t>黑色人造石</t>
    </r>
    <r>
      <rPr>
        <sz val="10"/>
        <rFont val="Arial"/>
        <charset val="134"/>
      </rPr>
      <t xml:space="preserve"> 12mm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</si>
  <si>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区波打线</t>
    </r>
  </si>
  <si>
    <t>波打线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</si>
  <si>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区台阶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</si>
  <si>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区墙面</t>
    </r>
  </si>
  <si>
    <t>ST-05</t>
  </si>
  <si>
    <t>中国黑色大理石25mm</t>
  </si>
  <si>
    <t>四层贵宾厅-波打线</t>
  </si>
  <si>
    <t>四层贵宾厅-吧台+茶台</t>
  </si>
  <si>
    <t>ST-06</t>
  </si>
  <si>
    <r>
      <rPr>
        <sz val="10"/>
        <rFont val="Arial"/>
        <charset val="134"/>
      </rPr>
      <t>K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中餐厅（明档台面）</t>
    </r>
  </si>
  <si>
    <r>
      <rPr>
        <sz val="10"/>
        <rFont val="Arial"/>
        <charset val="134"/>
      </rPr>
      <t>K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中餐厅（收银台）</t>
    </r>
  </si>
  <si>
    <r>
      <rPr>
        <sz val="10"/>
        <rFont val="Arial"/>
        <charset val="134"/>
      </rPr>
      <t>K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中餐厅（矮柜台面）</t>
    </r>
  </si>
  <si>
    <t>S-07</t>
  </si>
  <si>
    <t>艾克斯木纹大理石25mm</t>
  </si>
  <si>
    <t>洗手台</t>
  </si>
  <si>
    <r>
      <rPr>
        <sz val="10"/>
        <rFont val="Arial"/>
        <charset val="134"/>
      </rPr>
      <t>F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贵宾室，茶水柜台面</t>
    </r>
  </si>
  <si>
    <r>
      <rPr>
        <sz val="10"/>
        <rFont val="Arial"/>
        <charset val="134"/>
      </rPr>
      <t>K</t>
    </r>
    <r>
      <rPr>
        <sz val="10"/>
        <rFont val="宋体"/>
        <charset val="134"/>
      </rPr>
      <t>区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中餐厅</t>
    </r>
  </si>
  <si>
    <r>
      <rPr>
        <sz val="10"/>
        <rFont val="Arial"/>
        <charset val="134"/>
      </rPr>
      <t>C</t>
    </r>
    <r>
      <rPr>
        <sz val="10"/>
        <rFont val="宋体"/>
        <charset val="134"/>
      </rPr>
      <t>区</t>
    </r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</si>
  <si>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</t>
    </r>
    <r>
      <rPr>
        <sz val="10"/>
        <rFont val="Arial"/>
        <charset val="134"/>
      </rPr>
      <t>,</t>
    </r>
    <r>
      <rPr>
        <sz val="10"/>
        <rFont val="宋体"/>
        <charset val="134"/>
      </rPr>
      <t>矮柜台面</t>
    </r>
  </si>
  <si>
    <t>德国灰大理石25mm</t>
  </si>
  <si>
    <t>旗峰楼</t>
  </si>
  <si>
    <t>接待区、前台台面</t>
  </si>
  <si>
    <t>全日制餐厅</t>
  </si>
  <si>
    <t>全日制餐厅，开放明档、寿司区吧台</t>
  </si>
  <si>
    <t>通道</t>
  </si>
  <si>
    <t>包房</t>
  </si>
  <si>
    <t>卫生间</t>
  </si>
  <si>
    <r>
      <rPr>
        <sz val="10"/>
        <rFont val="Arial"/>
        <charset val="134"/>
      </rPr>
      <t>D</t>
    </r>
    <r>
      <rPr>
        <sz val="10"/>
        <rFont val="宋体"/>
        <charset val="134"/>
      </rPr>
      <t>区</t>
    </r>
  </si>
  <si>
    <r>
      <rPr>
        <sz val="10"/>
        <rFont val="Arial"/>
        <charset val="134"/>
      </rPr>
      <t>D</t>
    </r>
    <r>
      <rPr>
        <sz val="10"/>
        <rFont val="宋体"/>
        <charset val="134"/>
      </rPr>
      <t>区窗台</t>
    </r>
  </si>
  <si>
    <t>D区</t>
  </si>
  <si>
    <t>ST-01（地面）</t>
  </si>
  <si>
    <t>全日制餐厅，景观台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</si>
  <si>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区坡道、台阶</t>
    </r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</si>
  <si>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区零星</t>
    </r>
  </si>
  <si>
    <r>
      <rPr>
        <sz val="10"/>
        <rFont val="Arial"/>
        <charset val="134"/>
      </rPr>
      <t>ST-01</t>
    </r>
    <r>
      <rPr>
        <sz val="10"/>
        <rFont val="宋体"/>
        <charset val="134"/>
      </rPr>
      <t>（墙面）</t>
    </r>
  </si>
  <si>
    <t>爵士白大理石25mm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</si>
  <si>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区</t>
    </r>
    <r>
      <rPr>
        <sz val="10"/>
        <rFont val="Arial"/>
        <charset val="134"/>
      </rPr>
      <t>-</t>
    </r>
    <r>
      <rPr>
        <sz val="10"/>
        <rFont val="宋体"/>
        <charset val="134"/>
      </rPr>
      <t>台面</t>
    </r>
  </si>
  <si>
    <t>爵士白大理石（墙面）25mm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</si>
  <si>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区柱面</t>
    </r>
  </si>
  <si>
    <t>包房-柜面</t>
  </si>
  <si>
    <t>S-07啡色石材</t>
  </si>
  <si>
    <t>啡色石材25mm</t>
  </si>
  <si>
    <t>武警楼</t>
  </si>
  <si>
    <t>古堡灰大理石（窗台板）25mm</t>
  </si>
  <si>
    <t>一层双人房</t>
  </si>
  <si>
    <t>员工餐厅</t>
  </si>
  <si>
    <t>一层活动室</t>
  </si>
  <si>
    <t>二层单人房</t>
  </si>
  <si>
    <t>二层活动室</t>
  </si>
  <si>
    <t>爵士白窗台石台（取餐台）25mm</t>
  </si>
  <si>
    <t>古堡灰大理石（洗手台）25mm</t>
  </si>
  <si>
    <t>一层四人房</t>
  </si>
  <si>
    <t>公共卫生间</t>
  </si>
  <si>
    <t>古堡灰大理石（门槛石）25mm</t>
  </si>
  <si>
    <t>麻石25mm</t>
  </si>
  <si>
    <t>过道一</t>
  </si>
  <si>
    <t>室外台阶</t>
  </si>
  <si>
    <t>客房</t>
  </si>
  <si>
    <t>S-01巴洛尔灰大理石25mm</t>
  </si>
  <si>
    <t>亮面（窗台板）</t>
  </si>
  <si>
    <t>仿古面（地面）</t>
  </si>
  <si>
    <t>白色人造石 12mm厚</t>
  </si>
  <si>
    <t>弧形（浴缸置物台）</t>
  </si>
  <si>
    <t>S-01梵高灰大理石25mm</t>
  </si>
  <si>
    <t>亮面（地面）</t>
  </si>
  <si>
    <t>亮面（踏脚石）</t>
  </si>
  <si>
    <t>亮面（门槛石）</t>
  </si>
  <si>
    <t>亮面（淋浴间凹槽）</t>
  </si>
  <si>
    <t>ST-02白色人造</t>
  </si>
  <si>
    <t>S-03奥特曼米黄大理石25mm</t>
  </si>
  <si>
    <t>招标控制价</t>
  </si>
  <si>
    <r>
      <rPr>
        <sz val="20"/>
        <rFont val="宋体"/>
        <charset val="134"/>
      </rPr>
      <t>东莞迎宾馆改扩建项目</t>
    </r>
    <r>
      <rPr>
        <sz val="20"/>
        <rFont val="Arial"/>
        <charset val="134"/>
      </rPr>
      <t>(</t>
    </r>
    <r>
      <rPr>
        <sz val="20"/>
        <rFont val="宋体"/>
        <charset val="134"/>
      </rPr>
      <t>国际学术交流中心</t>
    </r>
    <r>
      <rPr>
        <sz val="20"/>
        <rFont val="Arial"/>
        <charset val="134"/>
      </rPr>
      <t>)</t>
    </r>
    <r>
      <rPr>
        <sz val="20"/>
        <rFont val="宋体"/>
        <charset val="134"/>
      </rPr>
      <t>石材采购清单</t>
    </r>
  </si>
  <si>
    <r>
      <rPr>
        <sz val="10"/>
        <rFont val="宋体"/>
        <charset val="134"/>
      </rPr>
      <t>德国灰大理石</t>
    </r>
    <r>
      <rPr>
        <sz val="10"/>
        <rFont val="Arial"/>
        <charset val="134"/>
      </rPr>
      <t>20mm+6</t>
    </r>
    <r>
      <rPr>
        <sz val="10"/>
        <rFont val="宋体"/>
        <charset val="134"/>
      </rPr>
      <t>面防水</t>
    </r>
  </si>
  <si>
    <t>S-01灰色石材开介拼贴 20mm+6面防水</t>
  </si>
  <si>
    <t>S-01灰色石材开介拼贴 50mm+6面防水</t>
  </si>
  <si>
    <t>注：宴会前厅100*300规格石材要求50mm厚度</t>
  </si>
  <si>
    <r>
      <rPr>
        <sz val="10"/>
        <rFont val="Arial"/>
        <charset val="134"/>
      </rPr>
      <t>140</t>
    </r>
    <r>
      <rPr>
        <sz val="10"/>
        <rFont val="宋体"/>
        <charset val="134"/>
      </rPr>
      <t>平方</t>
    </r>
  </si>
  <si>
    <t>新鱼肚灰大理石25mm+6面防水</t>
  </si>
  <si>
    <t>新鱼肚灰大理石20mm+6面防水</t>
  </si>
  <si>
    <t>地面 注：宴会前厅100*300规格石材要求50mm厚度</t>
  </si>
  <si>
    <t>新鱼肚灰大理石20mm+7面防水</t>
  </si>
  <si>
    <t>伊雅灰25mm+6面防水</t>
  </si>
  <si>
    <t>新鱼肚灰大理石（脚线）20mm+6面防水</t>
  </si>
  <si>
    <r>
      <rPr>
        <sz val="10"/>
        <rFont val="宋体"/>
        <charset val="134"/>
      </rPr>
      <t>白色石材花造型</t>
    </r>
    <r>
      <rPr>
        <sz val="10"/>
        <color rgb="FFFF0000"/>
        <rFont val="宋体"/>
        <charset val="134"/>
      </rPr>
      <t>25mm</t>
    </r>
    <r>
      <rPr>
        <sz val="10"/>
        <rFont val="宋体"/>
        <charset val="134"/>
      </rPr>
      <t>+6面防水</t>
    </r>
  </si>
  <si>
    <t>米黄色石材25mm+6面防水</t>
  </si>
  <si>
    <t>彩虹木纹大理石25mm+6面防水</t>
  </si>
  <si>
    <t>暗门（墙面）</t>
  </si>
  <si>
    <r>
      <rPr>
        <sz val="10"/>
        <rFont val="宋体"/>
        <charset val="134"/>
      </rPr>
      <t>黑色人造石</t>
    </r>
    <r>
      <rPr>
        <sz val="10"/>
        <rFont val="Arial"/>
        <charset val="134"/>
      </rPr>
      <t xml:space="preserve"> 12mm+6</t>
    </r>
    <r>
      <rPr>
        <sz val="10"/>
        <rFont val="宋体"/>
        <charset val="134"/>
      </rPr>
      <t>面防水</t>
    </r>
  </si>
  <si>
    <t>中国黑色大理石20mm+6面防水</t>
  </si>
  <si>
    <t>艾克斯木纹大理石20mm+6面防水</t>
  </si>
  <si>
    <t>洗手台（含台面开孔）</t>
  </si>
  <si>
    <t>德国灰大理石20mm+6面防水</t>
  </si>
  <si>
    <r>
      <rPr>
        <sz val="10"/>
        <rFont val="宋体"/>
        <charset val="134"/>
      </rPr>
      <t>新鱼肚灰大理石</t>
    </r>
    <r>
      <rPr>
        <sz val="10"/>
        <rFont val="Arial"/>
        <charset val="134"/>
      </rPr>
      <t>20mm+6</t>
    </r>
    <r>
      <rPr>
        <sz val="10"/>
        <rFont val="宋体"/>
        <charset val="134"/>
      </rPr>
      <t>面防水</t>
    </r>
  </si>
  <si>
    <r>
      <rPr>
        <sz val="10"/>
        <rFont val="宋体"/>
        <charset val="134"/>
      </rPr>
      <t>爵士白大理石</t>
    </r>
    <r>
      <rPr>
        <sz val="10"/>
        <rFont val="Arial"/>
        <charset val="134"/>
      </rPr>
      <t>20mm+6</t>
    </r>
    <r>
      <rPr>
        <sz val="10"/>
        <rFont val="宋体"/>
        <charset val="134"/>
      </rPr>
      <t>面防水</t>
    </r>
  </si>
  <si>
    <r>
      <rPr>
        <sz val="10"/>
        <rFont val="宋体"/>
        <charset val="134"/>
      </rPr>
      <t>爵士白大理石（墙面）</t>
    </r>
    <r>
      <rPr>
        <sz val="10"/>
        <rFont val="Arial"/>
        <charset val="134"/>
      </rPr>
      <t>25mm+6</t>
    </r>
    <r>
      <rPr>
        <sz val="10"/>
        <rFont val="宋体"/>
        <charset val="134"/>
      </rPr>
      <t>面防水</t>
    </r>
  </si>
  <si>
    <r>
      <rPr>
        <sz val="10"/>
        <rFont val="宋体"/>
        <charset val="134"/>
      </rPr>
      <t>彩虹木纹大理石</t>
    </r>
    <r>
      <rPr>
        <sz val="10"/>
        <rFont val="Arial"/>
        <charset val="134"/>
      </rPr>
      <t>25mm+6</t>
    </r>
    <r>
      <rPr>
        <sz val="10"/>
        <rFont val="宋体"/>
        <charset val="134"/>
      </rPr>
      <t>面防水</t>
    </r>
  </si>
  <si>
    <r>
      <rPr>
        <sz val="10"/>
        <rFont val="宋体"/>
        <charset val="134"/>
      </rPr>
      <t>彩虹木纹大理石</t>
    </r>
    <r>
      <rPr>
        <sz val="10"/>
        <rFont val="Arial"/>
        <charset val="134"/>
      </rPr>
      <t>20mm+6</t>
    </r>
    <r>
      <rPr>
        <sz val="10"/>
        <rFont val="宋体"/>
        <charset val="134"/>
      </rPr>
      <t>面防水</t>
    </r>
  </si>
  <si>
    <t>注：刚挂石材厚度要求25mm以上</t>
  </si>
  <si>
    <r>
      <rPr>
        <sz val="10"/>
        <rFont val="宋体"/>
        <charset val="134"/>
      </rPr>
      <t>啡色石材</t>
    </r>
    <r>
      <rPr>
        <sz val="10"/>
        <rFont val="Arial"/>
        <charset val="134"/>
      </rPr>
      <t>20mm+6</t>
    </r>
    <r>
      <rPr>
        <sz val="10"/>
        <rFont val="宋体"/>
        <charset val="134"/>
      </rPr>
      <t>面防水</t>
    </r>
  </si>
  <si>
    <t>古堡灰大理石（窗台板）20mm+6面防水</t>
  </si>
  <si>
    <t>爵士白窗台石台（取餐台）20mm+6面防水</t>
  </si>
  <si>
    <t>古堡灰大理石（洗手台）20mm+6面防水</t>
  </si>
  <si>
    <t>古堡灰大理石（门槛石）20mm+6面防水</t>
  </si>
  <si>
    <t>麻石20mm+6面防水</t>
  </si>
  <si>
    <t>S-01巴洛尔灰大理石20mm+6面防水</t>
  </si>
  <si>
    <t>白色人造石 12mm厚+6面防水</t>
  </si>
  <si>
    <t>水刀割弧形、开龙头孔
内孔边缘磨圆</t>
  </si>
  <si>
    <t>S-01梵高灰大理石20mm+6面防水</t>
  </si>
  <si>
    <t>ST-02白色人造+6面防水</t>
  </si>
  <si>
    <t>含台面开孔</t>
  </si>
  <si>
    <t>S-03奥特曼米黄大理石25mm+6面防水</t>
  </si>
  <si>
    <t>斜切角、导角、抛光</t>
  </si>
  <si>
    <t>m</t>
  </si>
  <si>
    <t>导角、拉槽、磨斜面、加铁、抛光</t>
  </si>
  <si>
    <t>导角、磨斜面、抛光</t>
  </si>
  <si>
    <r>
      <rPr>
        <sz val="9"/>
        <color theme="1"/>
        <rFont val="宋体"/>
        <charset val="134"/>
      </rPr>
      <t>切</t>
    </r>
    <r>
      <rPr>
        <sz val="10"/>
        <rFont val="MingLiU"/>
        <charset val="134"/>
      </rPr>
      <t>7</t>
    </r>
    <r>
      <rPr>
        <sz val="10"/>
        <rFont val="宋体"/>
        <charset val="134"/>
      </rPr>
      <t>字、小斜角、抛光</t>
    </r>
  </si>
  <si>
    <r>
      <rPr>
        <sz val="9"/>
        <rFont val="Times New Roman"/>
        <charset val="134"/>
      </rPr>
      <t>45°</t>
    </r>
    <r>
      <rPr>
        <sz val="10"/>
        <rFont val="MingLiU"/>
        <charset val="134"/>
      </rPr>
      <t>正倒不抛光</t>
    </r>
  </si>
  <si>
    <r>
      <rPr>
        <sz val="9"/>
        <rFont val="Times New Roman"/>
        <charset val="134"/>
      </rPr>
      <t>45°</t>
    </r>
    <r>
      <rPr>
        <sz val="10"/>
        <rFont val="MingLiU"/>
        <charset val="134"/>
      </rPr>
      <t>正倒并斜面抛光</t>
    </r>
  </si>
  <si>
    <t>龙头孔，下水孔</t>
  </si>
  <si>
    <t>水刀切割费（周长延米）</t>
  </si>
  <si>
    <t>背切</t>
  </si>
  <si>
    <t>抽槽抛光</t>
  </si>
  <si>
    <r>
      <rPr>
        <sz val="10"/>
        <rFont val="MingLiU"/>
        <charset val="134"/>
      </rPr>
      <t>磨边（直边）</t>
    </r>
  </si>
  <si>
    <r>
      <rPr>
        <sz val="10"/>
        <rFont val="MingLiU"/>
        <charset val="134"/>
      </rPr>
      <t>磨边（倒角</t>
    </r>
    <r>
      <rPr>
        <sz val="9"/>
        <rFont val="Times New Roman"/>
        <charset val="134"/>
      </rPr>
      <t>2mm）</t>
    </r>
  </si>
  <si>
    <r>
      <rPr>
        <sz val="10"/>
        <rFont val="MingLiU"/>
        <charset val="134"/>
      </rPr>
      <t>加厚边磨边（含粘贴石材加厚石材按石材价另 计）</t>
    </r>
  </si>
  <si>
    <r>
      <rPr>
        <sz val="10"/>
        <rFont val="MingLiU"/>
        <charset val="134"/>
      </rPr>
      <t>斜切角</t>
    </r>
  </si>
  <si>
    <r>
      <rPr>
        <sz val="9"/>
        <rFont val="Times New Roman"/>
        <charset val="134"/>
      </rPr>
      <t>45°</t>
    </r>
    <r>
      <rPr>
        <sz val="10"/>
        <rFont val="MingLiU"/>
        <charset val="134"/>
      </rPr>
      <t>正倒并侧面抛光</t>
    </r>
  </si>
  <si>
    <r>
      <rPr>
        <sz val="10"/>
        <rFont val="MingLiU"/>
        <charset val="134"/>
      </rPr>
      <t>其他角度正倒不抛光</t>
    </r>
  </si>
  <si>
    <r>
      <rPr>
        <sz val="10"/>
        <rFont val="MingLiU"/>
        <charset val="134"/>
      </rPr>
      <t>其他角度正倒并斜面抛光</t>
    </r>
  </si>
  <si>
    <r>
      <rPr>
        <sz val="10"/>
        <rFont val="MingLiU"/>
        <charset val="134"/>
      </rPr>
      <t>其他角度正倒并侧面抛光</t>
    </r>
  </si>
  <si>
    <r>
      <rPr>
        <sz val="9"/>
        <rFont val="Times New Roman"/>
        <charset val="134"/>
      </rPr>
      <t>45</t>
    </r>
    <r>
      <rPr>
        <sz val="10"/>
        <rFont val="MingLiU"/>
        <charset val="134"/>
      </rPr>
      <t>。背倒不抛光</t>
    </r>
  </si>
  <si>
    <r>
      <rPr>
        <sz val="10"/>
        <rFont val="MingLiU"/>
        <charset val="134"/>
      </rPr>
      <t>其他角度背倒不抛光</t>
    </r>
  </si>
  <si>
    <r>
      <rPr>
        <sz val="9"/>
        <rFont val="Times New Roman"/>
        <charset val="134"/>
      </rPr>
      <t>45</t>
    </r>
    <r>
      <rPr>
        <sz val="10"/>
        <rFont val="MingLiU"/>
        <charset val="134"/>
      </rPr>
      <t>。背倒并侧面抛光（海棠角用）</t>
    </r>
  </si>
  <si>
    <r>
      <rPr>
        <sz val="10"/>
        <rFont val="MingLiU"/>
        <charset val="134"/>
      </rPr>
      <t>其他角度背倒并侧面抛光（海棠角用）</t>
    </r>
  </si>
  <si>
    <r>
      <rPr>
        <sz val="10"/>
        <rFont val="MingLiU"/>
        <charset val="134"/>
      </rPr>
      <t>侧面抛光</t>
    </r>
  </si>
  <si>
    <r>
      <rPr>
        <sz val="9"/>
        <rFont val="Times New Roman"/>
        <charset val="134"/>
      </rPr>
      <t>1/4</t>
    </r>
    <r>
      <rPr>
        <sz val="10"/>
        <rFont val="MingLiU"/>
        <charset val="134"/>
      </rPr>
      <t>圆边</t>
    </r>
  </si>
  <si>
    <r>
      <rPr>
        <sz val="9"/>
        <rFont val="Times New Roman"/>
        <charset val="134"/>
      </rPr>
      <t>1/2</t>
    </r>
    <r>
      <rPr>
        <sz val="10"/>
        <rFont val="MingLiU"/>
        <charset val="134"/>
      </rPr>
      <t>圆边</t>
    </r>
  </si>
  <si>
    <r>
      <rPr>
        <sz val="10"/>
        <rFont val="MingLiU"/>
        <charset val="134"/>
      </rPr>
      <t>小圆角</t>
    </r>
  </si>
  <si>
    <r>
      <rPr>
        <sz val="10"/>
        <rFont val="MingLiU"/>
        <charset val="134"/>
      </rPr>
      <t>法国边</t>
    </r>
  </si>
  <si>
    <r>
      <rPr>
        <sz val="10"/>
        <rFont val="MingLiU"/>
        <charset val="134"/>
      </rPr>
      <t>安全角磨边</t>
    </r>
  </si>
  <si>
    <t>倒角</t>
  </si>
  <si>
    <t>海棠角</t>
  </si>
  <si>
    <t>贴背网</t>
  </si>
  <si>
    <t>合计</t>
  </si>
  <si>
    <t>1、以上报价为运货到工地价，含关税、含增值税普通发票，含就地卸货费用;</t>
  </si>
  <si>
    <t>2、付款方式：以合同为准；</t>
  </si>
  <si>
    <t>3、交货期：以合同为准；</t>
  </si>
  <si>
    <t>4、异型、水刀等加工费用单价已包括工厂排版、拼接等费用；</t>
  </si>
  <si>
    <t>5、如加工项目未包含的，结算时参照接近项目单价结算。</t>
  </si>
  <si>
    <t>6、投人人报价综合考虑所有加工费用，以招标人实收工程量结算。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</si>
</sst>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0"/>
      <name val="Arial"/>
      <charset val="134"/>
    </font>
    <font>
      <sz val="11"/>
      <color indexed="8"/>
      <name val="宋体"/>
      <charset val="134"/>
    </font>
    <font>
      <sz val="20"/>
      <name val="宋体"/>
      <charset val="134"/>
    </font>
    <font>
      <sz val="2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MingLiU"/>
      <charset val="134"/>
    </font>
    <font>
      <sz val="10"/>
      <color rgb="FFFF0000"/>
      <name val="Arial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color theme="1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15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0">
    <xf numFmtId="0" fontId="0" fillId="0" borderId="0" xfId="0"/>
    <xf numFmtId="0" fontId="0" fillId="2" borderId="0" xfId="0" applyFill="1" applyBorder="1"/>
    <xf numFmtId="0" fontId="1" fillId="0" borderId="0" xfId="0" applyFont="1" applyFill="1" applyAlignment="1">
      <alignment vertical="center"/>
    </xf>
    <xf numFmtId="176" fontId="0" fillId="2" borderId="0" xfId="0" applyNumberForma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0" fillId="2" borderId="2" xfId="0" applyFill="1" applyBorder="1"/>
    <xf numFmtId="176" fontId="0" fillId="2" borderId="2" xfId="0" applyNumberForma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/>
    <xf numFmtId="0" fontId="0" fillId="2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/>
    <xf numFmtId="176" fontId="4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wrapText="1"/>
    </xf>
    <xf numFmtId="0" fontId="0" fillId="2" borderId="2" xfId="0" applyFill="1" applyBorder="1" applyAlignment="1"/>
    <xf numFmtId="176" fontId="0" fillId="3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2" borderId="0" xfId="0" applyFont="1" applyFill="1" applyBorder="1"/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/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8" fillId="2" borderId="2" xfId="0" applyFont="1" applyFill="1" applyBorder="1"/>
    <xf numFmtId="0" fontId="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176" fontId="0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6" xfId="0" applyFill="1" applyBorder="1"/>
    <xf numFmtId="0" fontId="0" fillId="3" borderId="5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2" borderId="2" xfId="0" applyFont="1" applyFill="1" applyBorder="1"/>
    <xf numFmtId="0" fontId="13" fillId="2" borderId="2" xfId="0" applyFont="1" applyFill="1" applyBorder="1" applyAlignment="1"/>
    <xf numFmtId="0" fontId="0" fillId="2" borderId="6" xfId="0" applyFont="1" applyFill="1" applyBorder="1" applyAlignment="1">
      <alignment wrapText="1"/>
    </xf>
    <xf numFmtId="0" fontId="0" fillId="2" borderId="6" xfId="0" applyFont="1" applyFill="1" applyBorder="1" applyAlignment="1"/>
    <xf numFmtId="0" fontId="0" fillId="3" borderId="2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EFD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57785</xdr:colOff>
      <xdr:row>176</xdr:row>
      <xdr:rowOff>28575</xdr:rowOff>
    </xdr:from>
    <xdr:to>
      <xdr:col>8</xdr:col>
      <xdr:colOff>1297305</xdr:colOff>
      <xdr:row>177</xdr:row>
      <xdr:rowOff>13335</xdr:rowOff>
    </xdr:to>
    <xdr:pic>
      <xdr:nvPicPr>
        <xdr:cNvPr id="2" name="图片 1" descr="1618632781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01510" y="51231800"/>
          <a:ext cx="1239520" cy="56896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177</xdr:row>
      <xdr:rowOff>22225</xdr:rowOff>
    </xdr:from>
    <xdr:to>
      <xdr:col>8</xdr:col>
      <xdr:colOff>1299210</xdr:colOff>
      <xdr:row>177</xdr:row>
      <xdr:rowOff>577215</xdr:rowOff>
    </xdr:to>
    <xdr:pic>
      <xdr:nvPicPr>
        <xdr:cNvPr id="3" name="图片 2" descr="1618635867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51809650"/>
          <a:ext cx="1289685" cy="554990"/>
        </a:xfrm>
        <a:prstGeom prst="rect">
          <a:avLst/>
        </a:prstGeom>
      </xdr:spPr>
    </xdr:pic>
    <xdr:clientData/>
  </xdr:twoCellAnchor>
  <xdr:twoCellAnchor editAs="oneCell">
    <xdr:from>
      <xdr:col>8</xdr:col>
      <xdr:colOff>161290</xdr:colOff>
      <xdr:row>178</xdr:row>
      <xdr:rowOff>31750</xdr:rowOff>
    </xdr:from>
    <xdr:to>
      <xdr:col>8</xdr:col>
      <xdr:colOff>1083310</xdr:colOff>
      <xdr:row>178</xdr:row>
      <xdr:rowOff>580390</xdr:rowOff>
    </xdr:to>
    <xdr:pic>
      <xdr:nvPicPr>
        <xdr:cNvPr id="4" name="图片 3" descr="1618636004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105015" y="52403375"/>
          <a:ext cx="922020" cy="548640"/>
        </a:xfrm>
        <a:prstGeom prst="rect">
          <a:avLst/>
        </a:prstGeom>
      </xdr:spPr>
    </xdr:pic>
    <xdr:clientData/>
  </xdr:twoCellAnchor>
  <xdr:twoCellAnchor editAs="oneCell">
    <xdr:from>
      <xdr:col>8</xdr:col>
      <xdr:colOff>75565</xdr:colOff>
      <xdr:row>179</xdr:row>
      <xdr:rowOff>0</xdr:rowOff>
    </xdr:from>
    <xdr:to>
      <xdr:col>8</xdr:col>
      <xdr:colOff>1209675</xdr:colOff>
      <xdr:row>179</xdr:row>
      <xdr:rowOff>574040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019290" y="52955825"/>
          <a:ext cx="1134110" cy="5740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P188"/>
  <sheetViews>
    <sheetView workbookViewId="0">
      <pane xSplit="3" ySplit="3" topLeftCell="D91" activePane="bottomRight" state="frozen"/>
      <selection/>
      <selection pane="topRight"/>
      <selection pane="bottomLeft"/>
      <selection pane="bottomRight" activeCell="A1" sqref="A1:I1"/>
    </sheetView>
  </sheetViews>
  <sheetFormatPr defaultColWidth="9" defaultRowHeight="12.75"/>
  <cols>
    <col min="1" max="1" width="12.4285714285714" style="1" customWidth="1"/>
    <col min="2" max="2" width="14.2857142857143" style="1" customWidth="1"/>
    <col min="3" max="3" width="6" style="1" customWidth="1"/>
    <col min="4" max="4" width="10.8571428571429" style="3" customWidth="1"/>
    <col min="5" max="5" width="13.1428571428571" style="3" hidden="1" customWidth="1"/>
    <col min="6" max="6" width="16.7142857142857" style="3" customWidth="1"/>
    <col min="7" max="7" width="13.1428571428571" style="3" hidden="1" customWidth="1"/>
    <col min="8" max="9" width="13.1428571428571" style="3" customWidth="1"/>
    <col min="10" max="10" width="8.14285714285714" style="3" customWidth="1"/>
    <col min="11" max="11" width="20.5714285714286" style="1" customWidth="1" collapsed="1"/>
    <col min="12" max="13" width="15.8571428571429" style="1" hidden="1" customWidth="1" outlineLevel="1"/>
    <col min="14" max="14" width="15.8571428571429" style="1" hidden="1" customWidth="1" collapsed="1"/>
    <col min="15" max="16" width="15.8571428571429" style="1" hidden="1" customWidth="1" outlineLevel="1"/>
    <col min="17" max="17" width="15.8571428571429" style="1" hidden="1" customWidth="1" collapsed="1"/>
    <col min="18" max="19" width="15.8571428571429" style="1" hidden="1" customWidth="1" outlineLevel="1"/>
    <col min="20" max="20" width="15.8571428571429" style="1" hidden="1" customWidth="1" collapsed="1"/>
    <col min="21" max="22" width="15.8571428571429" style="1" hidden="1" customWidth="1" outlineLevel="1"/>
    <col min="23" max="23" width="15.8571428571429" style="1" hidden="1" customWidth="1" collapsed="1"/>
    <col min="24" max="25" width="15.8571428571429" style="1" hidden="1" customWidth="1" outlineLevel="1"/>
    <col min="26" max="28" width="15.8571428571429" style="1" hidden="1" customWidth="1"/>
    <col min="29" max="29" width="6.28571428571429" style="1" customWidth="1"/>
    <col min="30" max="30" width="8.42857142857143" style="1" customWidth="1"/>
    <col min="31" max="31" width="13" style="1" customWidth="1"/>
    <col min="32" max="32" width="12.5714285714286" style="1" customWidth="1"/>
    <col min="33" max="33" width="13" style="1" customWidth="1"/>
    <col min="34" max="34" width="12.5714285714286" style="1" customWidth="1"/>
    <col min="35" max="35" width="12.8571428571429" style="1" customWidth="1"/>
    <col min="36" max="36" width="9" style="1" hidden="1" customWidth="1"/>
    <col min="37" max="37" width="12.5714285714286" style="1" customWidth="1"/>
    <col min="38" max="38" width="12.8571428571429" style="1" customWidth="1"/>
    <col min="39" max="39" width="12.5714285714286" style="1" customWidth="1"/>
    <col min="40" max="40" width="12.8571428571429" style="1" customWidth="1"/>
    <col min="41" max="41" width="9.57142857142857" style="1"/>
    <col min="42" max="16384" width="9" style="1"/>
  </cols>
  <sheetData>
    <row r="1" spans="1:40">
      <c r="A1" s="8"/>
      <c r="B1" s="8"/>
      <c r="C1" s="8"/>
      <c r="D1" s="9"/>
      <c r="E1" s="9"/>
      <c r="F1" s="9"/>
      <c r="G1" s="9"/>
      <c r="H1" s="9"/>
      <c r="I1" s="9"/>
      <c r="J1" s="9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40">
      <c r="A2" s="7" t="s">
        <v>0</v>
      </c>
      <c r="B2" s="8"/>
      <c r="C2" s="8"/>
      <c r="D2" s="9"/>
      <c r="E2" s="9"/>
      <c r="F2" s="9"/>
      <c r="G2" s="9"/>
      <c r="H2" s="9"/>
      <c r="I2" s="9"/>
      <c r="J2" s="9"/>
      <c r="K2" s="8"/>
      <c r="L2" s="7" t="s">
        <v>1</v>
      </c>
      <c r="M2" s="8"/>
      <c r="N2" s="7" t="s">
        <v>2</v>
      </c>
      <c r="O2" s="8"/>
      <c r="P2" s="8"/>
      <c r="Q2" s="7" t="s">
        <v>3</v>
      </c>
      <c r="R2" s="8"/>
      <c r="S2" s="8"/>
      <c r="T2" s="7" t="s">
        <v>4</v>
      </c>
      <c r="U2" s="8"/>
      <c r="V2" s="8"/>
      <c r="W2" s="7" t="s">
        <v>5</v>
      </c>
      <c r="X2" s="8"/>
      <c r="Y2" s="8"/>
      <c r="Z2" s="8"/>
      <c r="AA2" s="8"/>
      <c r="AB2" s="8"/>
      <c r="AC2" s="8"/>
      <c r="AD2" s="10" t="s">
        <v>6</v>
      </c>
      <c r="AE2" s="11"/>
      <c r="AF2" s="10" t="s">
        <v>7</v>
      </c>
      <c r="AG2" s="11"/>
      <c r="AH2" s="10" t="s">
        <v>8</v>
      </c>
      <c r="AI2" s="11"/>
      <c r="AJ2" s="7" t="s">
        <v>9</v>
      </c>
      <c r="AK2" s="10" t="s">
        <v>10</v>
      </c>
      <c r="AL2" s="11"/>
      <c r="AM2" s="10" t="s">
        <v>11</v>
      </c>
      <c r="AN2" s="11"/>
    </row>
    <row r="3" s="1" customFormat="1" outlineLevel="1" spans="1:40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7" t="s">
        <v>16</v>
      </c>
      <c r="N3" s="7" t="s">
        <v>22</v>
      </c>
      <c r="O3" s="7" t="s">
        <v>23</v>
      </c>
      <c r="P3" s="7" t="s">
        <v>16</v>
      </c>
      <c r="Q3" s="7"/>
      <c r="R3" s="7" t="s">
        <v>23</v>
      </c>
      <c r="S3" s="7" t="s">
        <v>16</v>
      </c>
      <c r="T3" s="7"/>
      <c r="U3" s="7" t="s">
        <v>23</v>
      </c>
      <c r="V3" s="7" t="s">
        <v>16</v>
      </c>
      <c r="W3" s="7"/>
      <c r="X3" s="7" t="s">
        <v>23</v>
      </c>
      <c r="Y3" s="7" t="s">
        <v>16</v>
      </c>
      <c r="Z3" s="7"/>
      <c r="AA3" s="7"/>
      <c r="AB3" s="7" t="s">
        <v>24</v>
      </c>
      <c r="AC3" s="7" t="s">
        <v>25</v>
      </c>
      <c r="AD3" s="12" t="s">
        <v>26</v>
      </c>
      <c r="AE3" s="12" t="s">
        <v>27</v>
      </c>
      <c r="AF3" s="8"/>
      <c r="AG3" s="12" t="s">
        <v>27</v>
      </c>
      <c r="AH3" s="8"/>
      <c r="AI3" s="12" t="s">
        <v>27</v>
      </c>
      <c r="AJ3" s="8"/>
      <c r="AK3" s="8"/>
      <c r="AL3" s="12" t="s">
        <v>27</v>
      </c>
      <c r="AM3" s="8"/>
      <c r="AN3" s="12" t="s">
        <v>27</v>
      </c>
    </row>
    <row r="4" s="1" customFormat="1" ht="24.75" outlineLevel="1" spans="1:40">
      <c r="A4" s="99" t="s">
        <v>28</v>
      </c>
      <c r="B4" s="100" t="s">
        <v>29</v>
      </c>
      <c r="C4" s="101" t="s">
        <v>30</v>
      </c>
      <c r="D4" s="16">
        <f>L4+O4+R4+U4+X4</f>
        <v>3.5</v>
      </c>
      <c r="E4" s="16">
        <f t="shared" ref="E4:E16" si="0">M4+P4+S4+V4+Y4</f>
        <v>3.71</v>
      </c>
      <c r="F4" s="17">
        <f>SUM(D4:D24)</f>
        <v>135.3</v>
      </c>
      <c r="G4" s="17">
        <f>SUM(D4:D24)</f>
        <v>135.3</v>
      </c>
      <c r="H4" s="17">
        <v>780</v>
      </c>
      <c r="I4" s="17">
        <f>G4*H4</f>
        <v>105534</v>
      </c>
      <c r="J4" s="17" t="s">
        <v>31</v>
      </c>
      <c r="K4" s="18" t="s">
        <v>32</v>
      </c>
      <c r="L4" s="9">
        <v>3.5</v>
      </c>
      <c r="M4" s="9">
        <f t="shared" ref="M4:M9" si="1">L4*1.06</f>
        <v>3.71</v>
      </c>
      <c r="N4" s="8"/>
      <c r="O4" s="9"/>
      <c r="P4" s="9"/>
      <c r="Q4" s="8"/>
      <c r="R4" s="9"/>
      <c r="S4" s="9"/>
      <c r="T4" s="8"/>
      <c r="U4" s="9"/>
      <c r="V4" s="9"/>
      <c r="W4" s="8"/>
      <c r="X4" s="9"/>
      <c r="Y4" s="9"/>
      <c r="Z4" s="8"/>
      <c r="AA4" s="8"/>
      <c r="AB4" s="8">
        <v>780</v>
      </c>
      <c r="AC4" s="7" t="s">
        <v>33</v>
      </c>
      <c r="AD4" s="77">
        <v>455</v>
      </c>
      <c r="AE4" s="77">
        <f>AD4*$F$4</f>
        <v>61561.5</v>
      </c>
      <c r="AF4" s="77">
        <v>560</v>
      </c>
      <c r="AG4" s="77">
        <f t="shared" ref="AE4:AI4" si="2">AF4*$F$4</f>
        <v>75768</v>
      </c>
      <c r="AH4" s="77">
        <v>630</v>
      </c>
      <c r="AI4" s="77">
        <f t="shared" si="2"/>
        <v>85239</v>
      </c>
      <c r="AJ4" s="8">
        <v>590</v>
      </c>
      <c r="AK4" s="77">
        <v>569.52</v>
      </c>
      <c r="AL4" s="77">
        <f>AK4*$F$4</f>
        <v>77056.056</v>
      </c>
      <c r="AM4" s="77">
        <v>740</v>
      </c>
      <c r="AN4" s="77">
        <f>AM4*$F$4</f>
        <v>100122</v>
      </c>
    </row>
    <row r="5" s="1" customFormat="1" outlineLevel="1" spans="1:40">
      <c r="A5" s="99"/>
      <c r="B5" s="102"/>
      <c r="C5" s="101"/>
      <c r="D5" s="16">
        <f>L5+O5+R5+U5+X5+1.48</f>
        <v>3.98</v>
      </c>
      <c r="E5" s="16">
        <f t="shared" si="0"/>
        <v>2.65</v>
      </c>
      <c r="F5" s="17"/>
      <c r="G5" s="17"/>
      <c r="H5" s="17"/>
      <c r="I5" s="17"/>
      <c r="J5" s="17"/>
      <c r="K5" s="18" t="s">
        <v>34</v>
      </c>
      <c r="L5" s="9">
        <v>2.5</v>
      </c>
      <c r="M5" s="9">
        <f t="shared" si="1"/>
        <v>2.65</v>
      </c>
      <c r="N5" s="8"/>
      <c r="O5" s="9"/>
      <c r="P5" s="9"/>
      <c r="Q5" s="8"/>
      <c r="R5" s="9"/>
      <c r="S5" s="9"/>
      <c r="T5" s="8"/>
      <c r="U5" s="9"/>
      <c r="V5" s="9"/>
      <c r="W5" s="8"/>
      <c r="X5" s="9"/>
      <c r="Y5" s="9"/>
      <c r="Z5" s="8"/>
      <c r="AA5" s="8"/>
      <c r="AB5" s="8"/>
      <c r="AC5" s="7"/>
      <c r="AD5" s="78"/>
      <c r="AE5" s="78"/>
      <c r="AF5" s="78"/>
      <c r="AG5" s="78"/>
      <c r="AH5" s="78"/>
      <c r="AI5" s="78"/>
      <c r="AJ5" s="8">
        <v>590</v>
      </c>
      <c r="AK5" s="78"/>
      <c r="AL5" s="78"/>
      <c r="AM5" s="78"/>
      <c r="AN5" s="78"/>
    </row>
    <row r="6" s="1" customFormat="1" ht="24.75" outlineLevel="1" spans="1:40">
      <c r="A6" s="99"/>
      <c r="B6" s="102"/>
      <c r="C6" s="101"/>
      <c r="D6" s="16">
        <f t="shared" ref="D6:D16" si="3">L6+O6+R6+U6+X6</f>
        <v>0.88</v>
      </c>
      <c r="E6" s="16">
        <f t="shared" si="0"/>
        <v>0.9328</v>
      </c>
      <c r="F6" s="17"/>
      <c r="G6" s="17"/>
      <c r="H6" s="17"/>
      <c r="I6" s="17"/>
      <c r="J6" s="17"/>
      <c r="K6" s="18" t="s">
        <v>35</v>
      </c>
      <c r="L6" s="9">
        <v>0.88</v>
      </c>
      <c r="M6" s="9">
        <f t="shared" si="1"/>
        <v>0.9328</v>
      </c>
      <c r="N6" s="8"/>
      <c r="O6" s="9"/>
      <c r="P6" s="9"/>
      <c r="Q6" s="8"/>
      <c r="R6" s="9"/>
      <c r="S6" s="9"/>
      <c r="T6" s="8"/>
      <c r="U6" s="9"/>
      <c r="V6" s="9"/>
      <c r="W6" s="8"/>
      <c r="X6" s="9"/>
      <c r="Y6" s="9"/>
      <c r="Z6" s="8"/>
      <c r="AA6" s="8"/>
      <c r="AB6" s="8"/>
      <c r="AC6" s="7"/>
      <c r="AD6" s="78"/>
      <c r="AE6" s="78"/>
      <c r="AF6" s="78"/>
      <c r="AG6" s="78"/>
      <c r="AH6" s="78"/>
      <c r="AI6" s="78"/>
      <c r="AJ6" s="8">
        <v>590</v>
      </c>
      <c r="AK6" s="78"/>
      <c r="AL6" s="78"/>
      <c r="AM6" s="78"/>
      <c r="AN6" s="78"/>
    </row>
    <row r="7" s="1" customFormat="1" ht="38.25" outlineLevel="1" spans="1:40">
      <c r="A7" s="99"/>
      <c r="B7" s="102"/>
      <c r="C7" s="101"/>
      <c r="D7" s="16">
        <f t="shared" si="3"/>
        <v>8.03</v>
      </c>
      <c r="E7" s="16">
        <f t="shared" si="0"/>
        <v>8.5118</v>
      </c>
      <c r="F7" s="17"/>
      <c r="G7" s="17"/>
      <c r="H7" s="17"/>
      <c r="I7" s="17"/>
      <c r="J7" s="17"/>
      <c r="K7" s="18" t="s">
        <v>36</v>
      </c>
      <c r="L7" s="9">
        <v>8.03</v>
      </c>
      <c r="M7" s="9">
        <f t="shared" si="1"/>
        <v>8.5118</v>
      </c>
      <c r="N7" s="8"/>
      <c r="O7" s="9"/>
      <c r="P7" s="9"/>
      <c r="Q7" s="8"/>
      <c r="R7" s="9"/>
      <c r="S7" s="9"/>
      <c r="T7" s="8"/>
      <c r="U7" s="9"/>
      <c r="V7" s="9"/>
      <c r="W7" s="8"/>
      <c r="X7" s="9"/>
      <c r="Y7" s="9"/>
      <c r="Z7" s="8"/>
      <c r="AA7" s="8"/>
      <c r="AB7" s="8"/>
      <c r="AC7" s="7"/>
      <c r="AD7" s="78"/>
      <c r="AE7" s="78"/>
      <c r="AF7" s="78"/>
      <c r="AG7" s="78"/>
      <c r="AH7" s="78"/>
      <c r="AI7" s="78"/>
      <c r="AJ7" s="8">
        <v>590</v>
      </c>
      <c r="AK7" s="78"/>
      <c r="AL7" s="78"/>
      <c r="AM7" s="78"/>
      <c r="AN7" s="78"/>
    </row>
    <row r="8" s="1" customFormat="1" ht="25.5" outlineLevel="1" spans="1:40">
      <c r="A8" s="99"/>
      <c r="B8" s="102"/>
      <c r="C8" s="101"/>
      <c r="D8" s="16">
        <f t="shared" si="3"/>
        <v>8.74</v>
      </c>
      <c r="E8" s="16">
        <f t="shared" si="0"/>
        <v>9.2644</v>
      </c>
      <c r="F8" s="17"/>
      <c r="G8" s="17"/>
      <c r="H8" s="17"/>
      <c r="I8" s="17"/>
      <c r="J8" s="17"/>
      <c r="K8" s="18" t="s">
        <v>37</v>
      </c>
      <c r="L8" s="9">
        <v>8.74</v>
      </c>
      <c r="M8" s="9">
        <f t="shared" si="1"/>
        <v>9.2644</v>
      </c>
      <c r="N8" s="8"/>
      <c r="O8" s="9"/>
      <c r="P8" s="9"/>
      <c r="Q8" s="8"/>
      <c r="R8" s="9"/>
      <c r="S8" s="9"/>
      <c r="T8" s="8"/>
      <c r="U8" s="9"/>
      <c r="V8" s="9"/>
      <c r="W8" s="8"/>
      <c r="X8" s="9"/>
      <c r="Y8" s="9"/>
      <c r="Z8" s="8"/>
      <c r="AA8" s="8"/>
      <c r="AB8" s="8"/>
      <c r="AC8" s="7"/>
      <c r="AD8" s="78"/>
      <c r="AE8" s="78"/>
      <c r="AF8" s="78"/>
      <c r="AG8" s="78"/>
      <c r="AH8" s="78"/>
      <c r="AI8" s="78"/>
      <c r="AJ8" s="8">
        <v>590</v>
      </c>
      <c r="AK8" s="78"/>
      <c r="AL8" s="78"/>
      <c r="AM8" s="78"/>
      <c r="AN8" s="78"/>
    </row>
    <row r="9" s="1" customFormat="1" outlineLevel="1" spans="1:40">
      <c r="A9" s="99"/>
      <c r="B9" s="102"/>
      <c r="C9" s="101"/>
      <c r="D9" s="16">
        <f t="shared" si="3"/>
        <v>28.65</v>
      </c>
      <c r="E9" s="16">
        <f t="shared" si="0"/>
        <v>30.369</v>
      </c>
      <c r="F9" s="17"/>
      <c r="G9" s="17"/>
      <c r="H9" s="17"/>
      <c r="I9" s="17"/>
      <c r="J9" s="17"/>
      <c r="K9" s="21" t="s">
        <v>38</v>
      </c>
      <c r="L9" s="9">
        <v>28.65</v>
      </c>
      <c r="M9" s="9">
        <f t="shared" si="1"/>
        <v>30.369</v>
      </c>
      <c r="N9" s="8"/>
      <c r="O9" s="9"/>
      <c r="P9" s="9"/>
      <c r="Q9" s="8"/>
      <c r="R9" s="9"/>
      <c r="S9" s="9"/>
      <c r="T9" s="8"/>
      <c r="U9" s="9"/>
      <c r="V9" s="9"/>
      <c r="W9" s="8"/>
      <c r="X9" s="9"/>
      <c r="Y9" s="9"/>
      <c r="Z9" s="8"/>
      <c r="AA9" s="8"/>
      <c r="AB9" s="8"/>
      <c r="AC9" s="7"/>
      <c r="AD9" s="78"/>
      <c r="AE9" s="78"/>
      <c r="AF9" s="78"/>
      <c r="AG9" s="78"/>
      <c r="AH9" s="78"/>
      <c r="AI9" s="78"/>
      <c r="AJ9" s="8">
        <v>590</v>
      </c>
      <c r="AK9" s="78"/>
      <c r="AL9" s="78"/>
      <c r="AM9" s="78"/>
      <c r="AN9" s="78"/>
    </row>
    <row r="10" s="1" customFormat="1" outlineLevel="1" spans="1:40">
      <c r="A10" s="99"/>
      <c r="B10" s="102"/>
      <c r="C10" s="101"/>
      <c r="D10" s="16">
        <f t="shared" si="3"/>
        <v>2.37</v>
      </c>
      <c r="E10" s="16">
        <f t="shared" si="0"/>
        <v>2.5122</v>
      </c>
      <c r="F10" s="17"/>
      <c r="G10" s="17"/>
      <c r="H10" s="17"/>
      <c r="I10" s="17"/>
      <c r="J10" s="17" t="s">
        <v>39</v>
      </c>
      <c r="K10" s="21" t="s">
        <v>40</v>
      </c>
      <c r="L10" s="9"/>
      <c r="M10" s="9"/>
      <c r="N10" s="21" t="s">
        <v>40</v>
      </c>
      <c r="O10" s="9">
        <v>2.37</v>
      </c>
      <c r="P10" s="9">
        <f t="shared" ref="P10:P16" si="4">O10*1.06</f>
        <v>2.5122</v>
      </c>
      <c r="Q10" s="8"/>
      <c r="R10" s="9"/>
      <c r="S10" s="9"/>
      <c r="T10" s="8"/>
      <c r="U10" s="9"/>
      <c r="V10" s="9"/>
      <c r="W10" s="8"/>
      <c r="X10" s="9"/>
      <c r="Y10" s="9"/>
      <c r="Z10" s="8"/>
      <c r="AA10" s="8"/>
      <c r="AB10" s="8"/>
      <c r="AC10" s="7"/>
      <c r="AD10" s="78"/>
      <c r="AE10" s="78"/>
      <c r="AF10" s="78"/>
      <c r="AG10" s="78"/>
      <c r="AH10" s="78"/>
      <c r="AI10" s="78"/>
      <c r="AJ10" s="8">
        <v>590</v>
      </c>
      <c r="AK10" s="78"/>
      <c r="AL10" s="78"/>
      <c r="AM10" s="78"/>
      <c r="AN10" s="78"/>
    </row>
    <row r="11" s="1" customFormat="1" outlineLevel="1" spans="1:40">
      <c r="A11" s="99"/>
      <c r="B11" s="102"/>
      <c r="C11" s="101"/>
      <c r="D11" s="16">
        <f t="shared" si="3"/>
        <v>6.45</v>
      </c>
      <c r="E11" s="16">
        <f t="shared" si="0"/>
        <v>6.837</v>
      </c>
      <c r="F11" s="17"/>
      <c r="G11" s="17"/>
      <c r="H11" s="17"/>
      <c r="I11" s="17"/>
      <c r="J11" s="17"/>
      <c r="K11" s="8" t="s">
        <v>41</v>
      </c>
      <c r="L11" s="9"/>
      <c r="M11" s="9"/>
      <c r="N11" s="8" t="s">
        <v>41</v>
      </c>
      <c r="O11" s="9">
        <v>6.45</v>
      </c>
      <c r="P11" s="9">
        <f t="shared" si="4"/>
        <v>6.837</v>
      </c>
      <c r="Q11" s="8"/>
      <c r="R11" s="9"/>
      <c r="S11" s="9"/>
      <c r="T11" s="8"/>
      <c r="U11" s="9"/>
      <c r="V11" s="9"/>
      <c r="W11" s="8"/>
      <c r="X11" s="9"/>
      <c r="Y11" s="9"/>
      <c r="Z11" s="8"/>
      <c r="AA11" s="8"/>
      <c r="AB11" s="8"/>
      <c r="AC11" s="7"/>
      <c r="AD11" s="78"/>
      <c r="AE11" s="78"/>
      <c r="AF11" s="78"/>
      <c r="AG11" s="78"/>
      <c r="AH11" s="78"/>
      <c r="AI11" s="78"/>
      <c r="AJ11" s="8">
        <v>590</v>
      </c>
      <c r="AK11" s="78"/>
      <c r="AL11" s="78"/>
      <c r="AM11" s="78"/>
      <c r="AN11" s="78"/>
    </row>
    <row r="12" s="1" customFormat="1" outlineLevel="1" spans="1:40">
      <c r="A12" s="99"/>
      <c r="B12" s="102"/>
      <c r="C12" s="101"/>
      <c r="D12" s="16">
        <f t="shared" si="3"/>
        <v>1.06</v>
      </c>
      <c r="E12" s="16">
        <f t="shared" si="0"/>
        <v>1.1236</v>
      </c>
      <c r="F12" s="17"/>
      <c r="G12" s="17"/>
      <c r="H12" s="17"/>
      <c r="I12" s="17"/>
      <c r="J12" s="17"/>
      <c r="K12" s="21" t="s">
        <v>42</v>
      </c>
      <c r="L12" s="9"/>
      <c r="M12" s="9"/>
      <c r="N12" s="21" t="s">
        <v>42</v>
      </c>
      <c r="O12" s="9">
        <v>1.06</v>
      </c>
      <c r="P12" s="9">
        <f t="shared" si="4"/>
        <v>1.1236</v>
      </c>
      <c r="Q12" s="8"/>
      <c r="R12" s="9"/>
      <c r="S12" s="9"/>
      <c r="T12" s="8"/>
      <c r="U12" s="9"/>
      <c r="V12" s="9"/>
      <c r="W12" s="8"/>
      <c r="X12" s="9"/>
      <c r="Y12" s="9"/>
      <c r="Z12" s="8"/>
      <c r="AA12" s="8"/>
      <c r="AB12" s="8"/>
      <c r="AC12" s="7"/>
      <c r="AD12" s="78"/>
      <c r="AE12" s="78"/>
      <c r="AF12" s="78"/>
      <c r="AG12" s="78"/>
      <c r="AH12" s="78"/>
      <c r="AI12" s="78"/>
      <c r="AJ12" s="8">
        <v>590</v>
      </c>
      <c r="AK12" s="78"/>
      <c r="AL12" s="78"/>
      <c r="AM12" s="78"/>
      <c r="AN12" s="78"/>
    </row>
    <row r="13" s="1" customFormat="1" outlineLevel="1" spans="1:40">
      <c r="A13" s="99"/>
      <c r="B13" s="102"/>
      <c r="C13" s="101"/>
      <c r="D13" s="16">
        <f t="shared" si="3"/>
        <v>2.03</v>
      </c>
      <c r="E13" s="16">
        <f t="shared" si="0"/>
        <v>2.1518</v>
      </c>
      <c r="F13" s="17"/>
      <c r="G13" s="17"/>
      <c r="H13" s="17"/>
      <c r="I13" s="17"/>
      <c r="J13" s="17"/>
      <c r="K13" s="21" t="s">
        <v>43</v>
      </c>
      <c r="L13" s="9"/>
      <c r="M13" s="9"/>
      <c r="N13" s="21" t="s">
        <v>43</v>
      </c>
      <c r="O13" s="9">
        <v>2.03</v>
      </c>
      <c r="P13" s="9">
        <f t="shared" si="4"/>
        <v>2.1518</v>
      </c>
      <c r="Q13" s="8"/>
      <c r="R13" s="9"/>
      <c r="S13" s="9"/>
      <c r="T13" s="8"/>
      <c r="U13" s="9"/>
      <c r="V13" s="9"/>
      <c r="W13" s="8"/>
      <c r="X13" s="9"/>
      <c r="Y13" s="9"/>
      <c r="Z13" s="8"/>
      <c r="AA13" s="8"/>
      <c r="AB13" s="8"/>
      <c r="AC13" s="7"/>
      <c r="AD13" s="78"/>
      <c r="AE13" s="78"/>
      <c r="AF13" s="78"/>
      <c r="AG13" s="78"/>
      <c r="AH13" s="78"/>
      <c r="AI13" s="78"/>
      <c r="AJ13" s="8">
        <v>590</v>
      </c>
      <c r="AK13" s="78"/>
      <c r="AL13" s="78"/>
      <c r="AM13" s="78"/>
      <c r="AN13" s="78"/>
    </row>
    <row r="14" s="1" customFormat="1" outlineLevel="1" spans="1:40">
      <c r="A14" s="99"/>
      <c r="B14" s="102"/>
      <c r="C14" s="101"/>
      <c r="D14" s="16">
        <f t="shared" si="3"/>
        <v>0.68</v>
      </c>
      <c r="E14" s="16">
        <f t="shared" si="0"/>
        <v>0.7208</v>
      </c>
      <c r="F14" s="17"/>
      <c r="G14" s="17"/>
      <c r="H14" s="17"/>
      <c r="I14" s="17"/>
      <c r="J14" s="17"/>
      <c r="K14" s="21" t="s">
        <v>44</v>
      </c>
      <c r="L14" s="9"/>
      <c r="M14" s="9"/>
      <c r="N14" s="21" t="s">
        <v>44</v>
      </c>
      <c r="O14" s="9">
        <v>0.68</v>
      </c>
      <c r="P14" s="9">
        <f t="shared" si="4"/>
        <v>0.7208</v>
      </c>
      <c r="Q14" s="8"/>
      <c r="R14" s="9"/>
      <c r="S14" s="9"/>
      <c r="T14" s="8"/>
      <c r="U14" s="9"/>
      <c r="V14" s="9"/>
      <c r="W14" s="8"/>
      <c r="X14" s="9"/>
      <c r="Y14" s="9"/>
      <c r="Z14" s="8"/>
      <c r="AA14" s="8"/>
      <c r="AB14" s="8"/>
      <c r="AC14" s="7"/>
      <c r="AD14" s="78"/>
      <c r="AE14" s="78"/>
      <c r="AF14" s="78"/>
      <c r="AG14" s="78"/>
      <c r="AH14" s="78"/>
      <c r="AI14" s="78"/>
      <c r="AJ14" s="8">
        <v>590</v>
      </c>
      <c r="AK14" s="78"/>
      <c r="AL14" s="78"/>
      <c r="AM14" s="78"/>
      <c r="AN14" s="78"/>
    </row>
    <row r="15" s="1" customFormat="1" outlineLevel="1" spans="1:40">
      <c r="A15" s="99"/>
      <c r="B15" s="102"/>
      <c r="C15" s="101"/>
      <c r="D15" s="16">
        <f t="shared" si="3"/>
        <v>6.8</v>
      </c>
      <c r="E15" s="16">
        <f t="shared" si="0"/>
        <v>7.208</v>
      </c>
      <c r="F15" s="17"/>
      <c r="G15" s="17"/>
      <c r="H15" s="17"/>
      <c r="I15" s="17"/>
      <c r="J15" s="17"/>
      <c r="K15" s="21" t="s">
        <v>45</v>
      </c>
      <c r="L15" s="9"/>
      <c r="M15" s="9"/>
      <c r="N15" s="21" t="s">
        <v>45</v>
      </c>
      <c r="O15" s="9">
        <v>6.8</v>
      </c>
      <c r="P15" s="9">
        <f t="shared" si="4"/>
        <v>7.208</v>
      </c>
      <c r="Q15" s="8"/>
      <c r="R15" s="9"/>
      <c r="S15" s="9"/>
      <c r="T15" s="8"/>
      <c r="U15" s="9"/>
      <c r="V15" s="9"/>
      <c r="W15" s="8"/>
      <c r="X15" s="9"/>
      <c r="Y15" s="9"/>
      <c r="Z15" s="8"/>
      <c r="AA15" s="8"/>
      <c r="AB15" s="8"/>
      <c r="AC15" s="7"/>
      <c r="AD15" s="78"/>
      <c r="AE15" s="78"/>
      <c r="AF15" s="78"/>
      <c r="AG15" s="78"/>
      <c r="AH15" s="78"/>
      <c r="AI15" s="78"/>
      <c r="AJ15" s="8">
        <v>590</v>
      </c>
      <c r="AK15" s="78"/>
      <c r="AL15" s="78"/>
      <c r="AM15" s="78"/>
      <c r="AN15" s="78"/>
    </row>
    <row r="16" s="1" customFormat="1" outlineLevel="1" spans="1:40">
      <c r="A16" s="99"/>
      <c r="B16" s="102"/>
      <c r="C16" s="101"/>
      <c r="D16" s="16">
        <f t="shared" si="3"/>
        <v>1.98</v>
      </c>
      <c r="E16" s="16">
        <f t="shared" si="0"/>
        <v>2.0988</v>
      </c>
      <c r="F16" s="17"/>
      <c r="G16" s="17"/>
      <c r="H16" s="17"/>
      <c r="I16" s="17"/>
      <c r="J16" s="17"/>
      <c r="K16" s="8" t="s">
        <v>46</v>
      </c>
      <c r="L16" s="9"/>
      <c r="M16" s="9"/>
      <c r="N16" s="8" t="s">
        <v>46</v>
      </c>
      <c r="O16" s="9">
        <v>1.98</v>
      </c>
      <c r="P16" s="9">
        <f t="shared" si="4"/>
        <v>2.0988</v>
      </c>
      <c r="Q16" s="8"/>
      <c r="R16" s="9"/>
      <c r="S16" s="9"/>
      <c r="T16" s="8"/>
      <c r="U16" s="9"/>
      <c r="V16" s="9"/>
      <c r="W16" s="8"/>
      <c r="X16" s="9"/>
      <c r="Y16" s="9"/>
      <c r="Z16" s="8"/>
      <c r="AA16" s="8"/>
      <c r="AB16" s="8"/>
      <c r="AC16" s="7"/>
      <c r="AD16" s="78"/>
      <c r="AE16" s="78"/>
      <c r="AF16" s="78"/>
      <c r="AG16" s="78"/>
      <c r="AH16" s="78"/>
      <c r="AI16" s="78"/>
      <c r="AJ16" s="8">
        <v>590</v>
      </c>
      <c r="AK16" s="78"/>
      <c r="AL16" s="78"/>
      <c r="AM16" s="78"/>
      <c r="AN16" s="78"/>
    </row>
    <row r="17" s="1" customFormat="1" outlineLevel="1" spans="1:40">
      <c r="A17" s="99"/>
      <c r="B17" s="102"/>
      <c r="C17" s="101"/>
      <c r="D17" s="16">
        <v>31.57</v>
      </c>
      <c r="E17" s="16"/>
      <c r="F17" s="17"/>
      <c r="G17" s="17"/>
      <c r="H17" s="17"/>
      <c r="I17" s="17"/>
      <c r="J17" s="17"/>
      <c r="K17" s="21" t="s">
        <v>47</v>
      </c>
      <c r="L17" s="9"/>
      <c r="M17" s="9"/>
      <c r="N17" s="8"/>
      <c r="O17" s="9"/>
      <c r="P17" s="9"/>
      <c r="Q17" s="8"/>
      <c r="R17" s="9"/>
      <c r="S17" s="9"/>
      <c r="T17" s="8"/>
      <c r="U17" s="9"/>
      <c r="V17" s="9"/>
      <c r="W17" s="8"/>
      <c r="X17" s="9"/>
      <c r="Y17" s="9"/>
      <c r="Z17" s="8"/>
      <c r="AA17" s="8"/>
      <c r="AB17" s="8"/>
      <c r="AC17" s="7"/>
      <c r="AD17" s="78"/>
      <c r="AE17" s="78"/>
      <c r="AF17" s="78"/>
      <c r="AG17" s="78"/>
      <c r="AH17" s="78"/>
      <c r="AI17" s="78"/>
      <c r="AJ17" s="8">
        <v>590</v>
      </c>
      <c r="AK17" s="78"/>
      <c r="AL17" s="78"/>
      <c r="AM17" s="78"/>
      <c r="AN17" s="78"/>
    </row>
    <row r="18" s="1" customFormat="1" outlineLevel="1" spans="1:40">
      <c r="A18" s="99"/>
      <c r="B18" s="102"/>
      <c r="C18" s="101"/>
      <c r="D18" s="16">
        <f t="shared" ref="D18:D51" si="5">L18+O18+R18+U18+X18</f>
        <v>7.55</v>
      </c>
      <c r="E18" s="16">
        <f t="shared" ref="E18:E51" si="6">M18+P18+S18+V18+Y18</f>
        <v>8.003</v>
      </c>
      <c r="F18" s="17"/>
      <c r="G18" s="17"/>
      <c r="H18" s="17"/>
      <c r="I18" s="17"/>
      <c r="J18" s="17" t="s">
        <v>48</v>
      </c>
      <c r="K18" s="21" t="s">
        <v>49</v>
      </c>
      <c r="L18" s="9"/>
      <c r="M18" s="9"/>
      <c r="N18" s="8"/>
      <c r="O18" s="9"/>
      <c r="P18" s="9"/>
      <c r="Q18" s="21" t="s">
        <v>49</v>
      </c>
      <c r="R18" s="9">
        <v>7.55</v>
      </c>
      <c r="S18" s="9">
        <f t="shared" ref="S18:S20" si="7">R18*1.06</f>
        <v>8.003</v>
      </c>
      <c r="T18" s="8"/>
      <c r="U18" s="9"/>
      <c r="V18" s="9"/>
      <c r="W18" s="8"/>
      <c r="X18" s="9"/>
      <c r="Y18" s="9"/>
      <c r="Z18" s="8"/>
      <c r="AA18" s="8"/>
      <c r="AB18" s="8"/>
      <c r="AC18" s="7"/>
      <c r="AD18" s="78"/>
      <c r="AE18" s="78"/>
      <c r="AF18" s="78"/>
      <c r="AG18" s="78"/>
      <c r="AH18" s="78"/>
      <c r="AI18" s="78"/>
      <c r="AJ18" s="8">
        <v>590</v>
      </c>
      <c r="AK18" s="78"/>
      <c r="AL18" s="78"/>
      <c r="AM18" s="78"/>
      <c r="AN18" s="78"/>
    </row>
    <row r="19" s="1" customFormat="1" outlineLevel="1" spans="1:40">
      <c r="A19" s="99"/>
      <c r="B19" s="102"/>
      <c r="C19" s="101"/>
      <c r="D19" s="16">
        <f t="shared" si="5"/>
        <v>5.46</v>
      </c>
      <c r="E19" s="16">
        <f t="shared" si="6"/>
        <v>5.7876</v>
      </c>
      <c r="F19" s="17"/>
      <c r="G19" s="17"/>
      <c r="H19" s="17"/>
      <c r="I19" s="17"/>
      <c r="J19" s="17"/>
      <c r="K19" s="21" t="s">
        <v>50</v>
      </c>
      <c r="L19" s="9"/>
      <c r="M19" s="9"/>
      <c r="N19" s="8"/>
      <c r="O19" s="9"/>
      <c r="P19" s="9"/>
      <c r="Q19" s="21" t="s">
        <v>50</v>
      </c>
      <c r="R19" s="9">
        <v>5.46</v>
      </c>
      <c r="S19" s="9">
        <f t="shared" si="7"/>
        <v>5.7876</v>
      </c>
      <c r="T19" s="8"/>
      <c r="U19" s="9"/>
      <c r="V19" s="9"/>
      <c r="W19" s="8"/>
      <c r="X19" s="9"/>
      <c r="Y19" s="9"/>
      <c r="Z19" s="8"/>
      <c r="AA19" s="8"/>
      <c r="AB19" s="8"/>
      <c r="AC19" s="7"/>
      <c r="AD19" s="78"/>
      <c r="AE19" s="78"/>
      <c r="AF19" s="78"/>
      <c r="AG19" s="78"/>
      <c r="AH19" s="78"/>
      <c r="AI19" s="78"/>
      <c r="AJ19" s="8">
        <v>590</v>
      </c>
      <c r="AK19" s="78"/>
      <c r="AL19" s="78"/>
      <c r="AM19" s="78"/>
      <c r="AN19" s="78"/>
    </row>
    <row r="20" s="1" customFormat="1" outlineLevel="1" spans="1:40">
      <c r="A20" s="99"/>
      <c r="B20" s="102"/>
      <c r="C20" s="101"/>
      <c r="D20" s="16">
        <f t="shared" si="5"/>
        <v>2.06</v>
      </c>
      <c r="E20" s="16">
        <f t="shared" si="6"/>
        <v>2.1836</v>
      </c>
      <c r="F20" s="17"/>
      <c r="G20" s="17"/>
      <c r="H20" s="17"/>
      <c r="I20" s="17"/>
      <c r="J20" s="17"/>
      <c r="K20" s="21" t="s">
        <v>51</v>
      </c>
      <c r="L20" s="9"/>
      <c r="M20" s="9"/>
      <c r="N20" s="8"/>
      <c r="O20" s="9"/>
      <c r="P20" s="9"/>
      <c r="Q20" s="21" t="s">
        <v>51</v>
      </c>
      <c r="R20" s="9">
        <v>2.06</v>
      </c>
      <c r="S20" s="9">
        <f t="shared" si="7"/>
        <v>2.1836</v>
      </c>
      <c r="T20" s="8"/>
      <c r="U20" s="9"/>
      <c r="V20" s="9"/>
      <c r="W20" s="8"/>
      <c r="X20" s="9"/>
      <c r="Y20" s="9"/>
      <c r="Z20" s="8"/>
      <c r="AA20" s="8"/>
      <c r="AB20" s="8"/>
      <c r="AC20" s="7"/>
      <c r="AD20" s="78"/>
      <c r="AE20" s="78"/>
      <c r="AF20" s="78"/>
      <c r="AG20" s="78"/>
      <c r="AH20" s="78"/>
      <c r="AI20" s="78"/>
      <c r="AJ20" s="8">
        <v>590</v>
      </c>
      <c r="AK20" s="78"/>
      <c r="AL20" s="78"/>
      <c r="AM20" s="78"/>
      <c r="AN20" s="78"/>
    </row>
    <row r="21" s="1" customFormat="1" outlineLevel="1" spans="1:40">
      <c r="A21" s="99"/>
      <c r="B21" s="102"/>
      <c r="C21" s="101"/>
      <c r="D21" s="16">
        <f t="shared" si="5"/>
        <v>4.26</v>
      </c>
      <c r="E21" s="16">
        <f t="shared" si="6"/>
        <v>4.5156</v>
      </c>
      <c r="F21" s="17"/>
      <c r="G21" s="17"/>
      <c r="H21" s="17"/>
      <c r="I21" s="17"/>
      <c r="J21" s="17" t="s">
        <v>52</v>
      </c>
      <c r="K21" s="8" t="s">
        <v>53</v>
      </c>
      <c r="L21" s="9"/>
      <c r="M21" s="9"/>
      <c r="N21" s="8"/>
      <c r="O21" s="9"/>
      <c r="P21" s="9"/>
      <c r="Q21" s="21"/>
      <c r="R21" s="9"/>
      <c r="S21" s="9"/>
      <c r="T21" s="8" t="s">
        <v>53</v>
      </c>
      <c r="U21" s="9">
        <v>4.26</v>
      </c>
      <c r="V21" s="9">
        <f t="shared" ref="V21:V23" si="8">U21*1.06</f>
        <v>4.5156</v>
      </c>
      <c r="W21" s="8"/>
      <c r="X21" s="9"/>
      <c r="Y21" s="9"/>
      <c r="Z21" s="8"/>
      <c r="AA21" s="8"/>
      <c r="AB21" s="8"/>
      <c r="AC21" s="7"/>
      <c r="AD21" s="78"/>
      <c r="AE21" s="78"/>
      <c r="AF21" s="78"/>
      <c r="AG21" s="78"/>
      <c r="AH21" s="78"/>
      <c r="AI21" s="78"/>
      <c r="AJ21" s="8">
        <v>590</v>
      </c>
      <c r="AK21" s="78"/>
      <c r="AL21" s="78"/>
      <c r="AM21" s="78"/>
      <c r="AN21" s="78"/>
    </row>
    <row r="22" s="1" customFormat="1" outlineLevel="1" spans="1:40">
      <c r="A22" s="99"/>
      <c r="B22" s="102"/>
      <c r="C22" s="101"/>
      <c r="D22" s="16">
        <f t="shared" si="5"/>
        <v>2.76</v>
      </c>
      <c r="E22" s="16">
        <f t="shared" si="6"/>
        <v>2.9256</v>
      </c>
      <c r="F22" s="17"/>
      <c r="G22" s="17"/>
      <c r="H22" s="17"/>
      <c r="I22" s="17"/>
      <c r="J22" s="17"/>
      <c r="K22" s="8" t="s">
        <v>54</v>
      </c>
      <c r="L22" s="9"/>
      <c r="M22" s="9"/>
      <c r="N22" s="8"/>
      <c r="O22" s="9"/>
      <c r="P22" s="9"/>
      <c r="Q22" s="21"/>
      <c r="R22" s="9"/>
      <c r="S22" s="9"/>
      <c r="T22" s="8" t="s">
        <v>54</v>
      </c>
      <c r="U22" s="9">
        <v>2.76</v>
      </c>
      <c r="V22" s="9">
        <f t="shared" si="8"/>
        <v>2.9256</v>
      </c>
      <c r="W22" s="8"/>
      <c r="X22" s="9"/>
      <c r="Y22" s="9"/>
      <c r="Z22" s="8"/>
      <c r="AA22" s="8"/>
      <c r="AB22" s="8"/>
      <c r="AC22" s="7"/>
      <c r="AD22" s="78"/>
      <c r="AE22" s="78"/>
      <c r="AF22" s="78"/>
      <c r="AG22" s="78"/>
      <c r="AH22" s="78"/>
      <c r="AI22" s="78"/>
      <c r="AJ22" s="8">
        <v>590</v>
      </c>
      <c r="AK22" s="78"/>
      <c r="AL22" s="78"/>
      <c r="AM22" s="78"/>
      <c r="AN22" s="78"/>
    </row>
    <row r="23" s="1" customFormat="1" outlineLevel="1" spans="1:40">
      <c r="A23" s="99"/>
      <c r="B23" s="102"/>
      <c r="C23" s="101"/>
      <c r="D23" s="16">
        <f t="shared" si="5"/>
        <v>3.39</v>
      </c>
      <c r="E23" s="16">
        <f t="shared" si="6"/>
        <v>3.5934</v>
      </c>
      <c r="F23" s="17"/>
      <c r="G23" s="17"/>
      <c r="H23" s="17"/>
      <c r="I23" s="17"/>
      <c r="J23" s="17"/>
      <c r="K23" s="8" t="s">
        <v>51</v>
      </c>
      <c r="L23" s="9"/>
      <c r="M23" s="9"/>
      <c r="N23" s="8"/>
      <c r="O23" s="9"/>
      <c r="P23" s="9"/>
      <c r="Q23" s="21"/>
      <c r="R23" s="9"/>
      <c r="S23" s="9"/>
      <c r="T23" s="8" t="s">
        <v>51</v>
      </c>
      <c r="U23" s="9">
        <v>3.39</v>
      </c>
      <c r="V23" s="9">
        <f t="shared" si="8"/>
        <v>3.5934</v>
      </c>
      <c r="W23" s="8"/>
      <c r="X23" s="9"/>
      <c r="Y23" s="9"/>
      <c r="Z23" s="8"/>
      <c r="AA23" s="8"/>
      <c r="AB23" s="8"/>
      <c r="AC23" s="7"/>
      <c r="AD23" s="78"/>
      <c r="AE23" s="78"/>
      <c r="AF23" s="78"/>
      <c r="AG23" s="78"/>
      <c r="AH23" s="78"/>
      <c r="AI23" s="78"/>
      <c r="AJ23" s="8">
        <v>590</v>
      </c>
      <c r="AK23" s="78"/>
      <c r="AL23" s="78"/>
      <c r="AM23" s="78"/>
      <c r="AN23" s="78"/>
    </row>
    <row r="24" s="1" customFormat="1" outlineLevel="1" spans="1:40">
      <c r="A24" s="99"/>
      <c r="B24" s="102"/>
      <c r="C24" s="101"/>
      <c r="D24" s="16">
        <f t="shared" si="5"/>
        <v>3.1</v>
      </c>
      <c r="E24" s="16">
        <f t="shared" si="6"/>
        <v>3.286</v>
      </c>
      <c r="F24" s="17"/>
      <c r="G24" s="17"/>
      <c r="H24" s="17"/>
      <c r="I24" s="17"/>
      <c r="J24" s="17" t="s">
        <v>55</v>
      </c>
      <c r="K24" s="7" t="s">
        <v>56</v>
      </c>
      <c r="L24" s="9"/>
      <c r="M24" s="9"/>
      <c r="N24" s="8"/>
      <c r="O24" s="9"/>
      <c r="P24" s="9"/>
      <c r="Q24" s="21"/>
      <c r="R24" s="9"/>
      <c r="S24" s="9"/>
      <c r="T24" s="8"/>
      <c r="U24" s="9"/>
      <c r="V24" s="9"/>
      <c r="W24" s="7" t="s">
        <v>56</v>
      </c>
      <c r="X24" s="9">
        <v>3.1</v>
      </c>
      <c r="Y24" s="9">
        <f>X24*1.06</f>
        <v>3.286</v>
      </c>
      <c r="Z24" s="8"/>
      <c r="AA24" s="8"/>
      <c r="AB24" s="8"/>
      <c r="AC24" s="7"/>
      <c r="AD24" s="79"/>
      <c r="AE24" s="109"/>
      <c r="AF24" s="79"/>
      <c r="AG24" s="109"/>
      <c r="AH24" s="79"/>
      <c r="AI24" s="109"/>
      <c r="AJ24" s="8">
        <v>590</v>
      </c>
      <c r="AK24" s="79"/>
      <c r="AL24" s="109"/>
      <c r="AM24" s="79"/>
      <c r="AN24" s="109"/>
    </row>
    <row r="25" s="1" customFormat="1" outlineLevel="1" spans="1:40">
      <c r="A25" s="99" t="s">
        <v>57</v>
      </c>
      <c r="B25" s="103" t="s">
        <v>29</v>
      </c>
      <c r="C25" s="101" t="s">
        <v>30</v>
      </c>
      <c r="D25" s="16">
        <f t="shared" si="5"/>
        <v>0</v>
      </c>
      <c r="E25" s="16">
        <f t="shared" si="6"/>
        <v>0</v>
      </c>
      <c r="F25" s="17">
        <f>SUM(D25:D35)</f>
        <v>5.72</v>
      </c>
      <c r="G25" s="17">
        <f>SUM(D25:D35)</f>
        <v>5.72</v>
      </c>
      <c r="H25" s="17">
        <v>550</v>
      </c>
      <c r="I25" s="17">
        <f>G25*H25</f>
        <v>3146</v>
      </c>
      <c r="J25" s="17" t="s">
        <v>31</v>
      </c>
      <c r="K25" s="21" t="s">
        <v>32</v>
      </c>
      <c r="L25" s="9"/>
      <c r="M25" s="9"/>
      <c r="N25" s="8"/>
      <c r="O25" s="9"/>
      <c r="P25" s="9"/>
      <c r="Q25" s="8"/>
      <c r="R25" s="9"/>
      <c r="S25" s="9"/>
      <c r="T25" s="8"/>
      <c r="U25" s="9"/>
      <c r="V25" s="9"/>
      <c r="W25" s="8"/>
      <c r="X25" s="9"/>
      <c r="Y25" s="9"/>
      <c r="Z25" s="8"/>
      <c r="AA25" s="8"/>
      <c r="AB25" s="8">
        <v>550</v>
      </c>
      <c r="AC25" s="7" t="s">
        <v>58</v>
      </c>
      <c r="AD25" s="77">
        <v>455</v>
      </c>
      <c r="AE25" s="77">
        <f>AD25*$F$25</f>
        <v>2602.6</v>
      </c>
      <c r="AF25" s="77">
        <v>560</v>
      </c>
      <c r="AG25" s="77">
        <f>AF25*$F$25</f>
        <v>3203.2</v>
      </c>
      <c r="AH25" s="77">
        <v>630</v>
      </c>
      <c r="AI25" s="77">
        <f>AH25*$F$25</f>
        <v>3603.6</v>
      </c>
      <c r="AJ25" s="8">
        <v>590</v>
      </c>
      <c r="AK25" s="77">
        <v>596.52</v>
      </c>
      <c r="AL25" s="77">
        <f>AK25*$F$25</f>
        <v>3412.0944</v>
      </c>
      <c r="AM25" s="77">
        <v>740</v>
      </c>
      <c r="AN25" s="77">
        <f>AM25*$F$25</f>
        <v>4232.8</v>
      </c>
    </row>
    <row r="26" s="1" customFormat="1" outlineLevel="1" spans="1:40">
      <c r="A26" s="99"/>
      <c r="B26" s="104"/>
      <c r="C26" s="101"/>
      <c r="D26" s="16">
        <f t="shared" si="5"/>
        <v>0.2</v>
      </c>
      <c r="E26" s="16">
        <f t="shared" si="6"/>
        <v>0.212</v>
      </c>
      <c r="F26" s="17"/>
      <c r="G26" s="17"/>
      <c r="H26" s="17"/>
      <c r="I26" s="17"/>
      <c r="J26" s="17" t="s">
        <v>39</v>
      </c>
      <c r="K26" s="21" t="s">
        <v>42</v>
      </c>
      <c r="L26" s="9"/>
      <c r="M26" s="9"/>
      <c r="N26" s="21" t="s">
        <v>42</v>
      </c>
      <c r="O26" s="9">
        <v>0.2</v>
      </c>
      <c r="P26" s="9">
        <f t="shared" ref="P26:P30" si="9">O26*1.06</f>
        <v>0.212</v>
      </c>
      <c r="Q26" s="8"/>
      <c r="R26" s="9"/>
      <c r="S26" s="9"/>
      <c r="T26" s="8"/>
      <c r="U26" s="9"/>
      <c r="V26" s="9"/>
      <c r="W26" s="8"/>
      <c r="X26" s="9"/>
      <c r="Y26" s="9"/>
      <c r="Z26" s="8"/>
      <c r="AA26" s="8"/>
      <c r="AB26" s="8"/>
      <c r="AC26" s="7"/>
      <c r="AD26" s="78"/>
      <c r="AE26" s="78"/>
      <c r="AF26" s="78"/>
      <c r="AG26" s="78"/>
      <c r="AH26" s="78"/>
      <c r="AI26" s="78"/>
      <c r="AJ26" s="8">
        <v>590</v>
      </c>
      <c r="AK26" s="78"/>
      <c r="AL26" s="78"/>
      <c r="AM26" s="78"/>
      <c r="AN26" s="78"/>
    </row>
    <row r="27" s="1" customFormat="1" outlineLevel="1" spans="1:40">
      <c r="A27" s="99"/>
      <c r="B27" s="104"/>
      <c r="C27" s="101"/>
      <c r="D27" s="16">
        <f t="shared" si="5"/>
        <v>0.31</v>
      </c>
      <c r="E27" s="16">
        <f t="shared" si="6"/>
        <v>0.3286</v>
      </c>
      <c r="F27" s="17"/>
      <c r="G27" s="17"/>
      <c r="H27" s="17"/>
      <c r="I27" s="17"/>
      <c r="J27" s="17"/>
      <c r="K27" s="21" t="s">
        <v>44</v>
      </c>
      <c r="L27" s="9"/>
      <c r="M27" s="9"/>
      <c r="N27" s="21" t="s">
        <v>44</v>
      </c>
      <c r="O27" s="9">
        <v>0.31</v>
      </c>
      <c r="P27" s="9">
        <f t="shared" si="9"/>
        <v>0.3286</v>
      </c>
      <c r="Q27" s="8"/>
      <c r="R27" s="9"/>
      <c r="S27" s="9"/>
      <c r="T27" s="8"/>
      <c r="U27" s="9"/>
      <c r="V27" s="9"/>
      <c r="W27" s="8"/>
      <c r="X27" s="9"/>
      <c r="Y27" s="9"/>
      <c r="Z27" s="8"/>
      <c r="AA27" s="8"/>
      <c r="AB27" s="8"/>
      <c r="AC27" s="7"/>
      <c r="AD27" s="78"/>
      <c r="AE27" s="78"/>
      <c r="AF27" s="78"/>
      <c r="AG27" s="78"/>
      <c r="AH27" s="78"/>
      <c r="AI27" s="78"/>
      <c r="AJ27" s="8">
        <v>590</v>
      </c>
      <c r="AK27" s="78"/>
      <c r="AL27" s="78"/>
      <c r="AM27" s="78"/>
      <c r="AN27" s="78"/>
    </row>
    <row r="28" s="1" customFormat="1" outlineLevel="1" spans="1:40">
      <c r="A28" s="99"/>
      <c r="B28" s="104"/>
      <c r="C28" s="101"/>
      <c r="D28" s="16">
        <f t="shared" si="5"/>
        <v>0.72</v>
      </c>
      <c r="E28" s="16">
        <f t="shared" si="6"/>
        <v>0.7632</v>
      </c>
      <c r="F28" s="17"/>
      <c r="G28" s="17"/>
      <c r="H28" s="17"/>
      <c r="I28" s="17"/>
      <c r="J28" s="17"/>
      <c r="K28" s="8" t="s">
        <v>59</v>
      </c>
      <c r="L28" s="9"/>
      <c r="M28" s="9"/>
      <c r="N28" s="8" t="s">
        <v>59</v>
      </c>
      <c r="O28" s="9">
        <v>0.72</v>
      </c>
      <c r="P28" s="9">
        <f t="shared" si="9"/>
        <v>0.7632</v>
      </c>
      <c r="Q28" s="8"/>
      <c r="R28" s="9"/>
      <c r="S28" s="9"/>
      <c r="T28" s="8"/>
      <c r="U28" s="9"/>
      <c r="V28" s="9"/>
      <c r="W28" s="8"/>
      <c r="X28" s="9"/>
      <c r="Y28" s="9"/>
      <c r="Z28" s="8"/>
      <c r="AA28" s="8"/>
      <c r="AB28" s="8"/>
      <c r="AC28" s="7"/>
      <c r="AD28" s="78"/>
      <c r="AE28" s="78"/>
      <c r="AF28" s="78"/>
      <c r="AG28" s="78"/>
      <c r="AH28" s="78"/>
      <c r="AI28" s="78"/>
      <c r="AJ28" s="8">
        <v>590</v>
      </c>
      <c r="AK28" s="78"/>
      <c r="AL28" s="78"/>
      <c r="AM28" s="78"/>
      <c r="AN28" s="78"/>
    </row>
    <row r="29" s="1" customFormat="1" outlineLevel="1" spans="1:40">
      <c r="A29" s="99"/>
      <c r="B29" s="104"/>
      <c r="C29" s="101"/>
      <c r="D29" s="16">
        <f t="shared" si="5"/>
        <v>1.08</v>
      </c>
      <c r="E29" s="16">
        <f t="shared" si="6"/>
        <v>1.1448</v>
      </c>
      <c r="F29" s="17"/>
      <c r="G29" s="17"/>
      <c r="H29" s="17"/>
      <c r="I29" s="17"/>
      <c r="J29" s="17"/>
      <c r="K29" s="8" t="s">
        <v>60</v>
      </c>
      <c r="L29" s="9"/>
      <c r="M29" s="9"/>
      <c r="N29" s="8" t="s">
        <v>60</v>
      </c>
      <c r="O29" s="9">
        <v>1.08</v>
      </c>
      <c r="P29" s="9">
        <f t="shared" si="9"/>
        <v>1.1448</v>
      </c>
      <c r="Q29" s="8"/>
      <c r="R29" s="9"/>
      <c r="S29" s="9"/>
      <c r="T29" s="8"/>
      <c r="U29" s="9"/>
      <c r="V29" s="9"/>
      <c r="W29" s="8"/>
      <c r="X29" s="9"/>
      <c r="Y29" s="9"/>
      <c r="Z29" s="8"/>
      <c r="AA29" s="8"/>
      <c r="AB29" s="8"/>
      <c r="AC29" s="7"/>
      <c r="AD29" s="78"/>
      <c r="AE29" s="78"/>
      <c r="AF29" s="78"/>
      <c r="AG29" s="78"/>
      <c r="AH29" s="78"/>
      <c r="AI29" s="78"/>
      <c r="AJ29" s="8">
        <v>590</v>
      </c>
      <c r="AK29" s="78"/>
      <c r="AL29" s="78"/>
      <c r="AM29" s="78"/>
      <c r="AN29" s="78"/>
    </row>
    <row r="30" s="1" customFormat="1" outlineLevel="1" spans="1:40">
      <c r="A30" s="99"/>
      <c r="B30" s="104"/>
      <c r="C30" s="101"/>
      <c r="D30" s="16">
        <f t="shared" si="5"/>
        <v>0.54</v>
      </c>
      <c r="E30" s="16">
        <f t="shared" si="6"/>
        <v>0.5724</v>
      </c>
      <c r="F30" s="17"/>
      <c r="G30" s="17"/>
      <c r="H30" s="17"/>
      <c r="I30" s="17"/>
      <c r="J30" s="17"/>
      <c r="K30" s="8" t="s">
        <v>46</v>
      </c>
      <c r="L30" s="9"/>
      <c r="M30" s="9"/>
      <c r="N30" s="8" t="s">
        <v>46</v>
      </c>
      <c r="O30" s="9">
        <v>0.54</v>
      </c>
      <c r="P30" s="9">
        <f t="shared" si="9"/>
        <v>0.5724</v>
      </c>
      <c r="Q30" s="8"/>
      <c r="R30" s="9"/>
      <c r="S30" s="9"/>
      <c r="T30" s="8"/>
      <c r="U30" s="9"/>
      <c r="V30" s="9"/>
      <c r="W30" s="8"/>
      <c r="X30" s="9"/>
      <c r="Y30" s="9"/>
      <c r="Z30" s="8"/>
      <c r="AA30" s="8"/>
      <c r="AB30" s="8"/>
      <c r="AC30" s="7"/>
      <c r="AD30" s="78"/>
      <c r="AE30" s="78"/>
      <c r="AF30" s="78"/>
      <c r="AG30" s="78"/>
      <c r="AH30" s="78"/>
      <c r="AI30" s="78"/>
      <c r="AJ30" s="8">
        <v>590</v>
      </c>
      <c r="AK30" s="78"/>
      <c r="AL30" s="78"/>
      <c r="AM30" s="78"/>
      <c r="AN30" s="78"/>
    </row>
    <row r="31" s="1" customFormat="1" outlineLevel="1" spans="1:40">
      <c r="A31" s="99"/>
      <c r="B31" s="104"/>
      <c r="C31" s="101"/>
      <c r="D31" s="16">
        <f t="shared" si="5"/>
        <v>0.6</v>
      </c>
      <c r="E31" s="16">
        <f t="shared" si="6"/>
        <v>0.636</v>
      </c>
      <c r="F31" s="17"/>
      <c r="G31" s="17"/>
      <c r="H31" s="17"/>
      <c r="I31" s="17"/>
      <c r="J31" s="17" t="s">
        <v>48</v>
      </c>
      <c r="K31" s="21" t="s">
        <v>49</v>
      </c>
      <c r="L31" s="9"/>
      <c r="M31" s="9"/>
      <c r="N31" s="8"/>
      <c r="O31" s="9"/>
      <c r="P31" s="9"/>
      <c r="Q31" s="21" t="s">
        <v>49</v>
      </c>
      <c r="R31" s="9">
        <v>0.6</v>
      </c>
      <c r="S31" s="9">
        <f t="shared" ref="S31:S33" si="10">R31*1.06</f>
        <v>0.636</v>
      </c>
      <c r="T31" s="8"/>
      <c r="U31" s="9"/>
      <c r="V31" s="9"/>
      <c r="W31" s="8"/>
      <c r="X31" s="9"/>
      <c r="Y31" s="9"/>
      <c r="Z31" s="8"/>
      <c r="AA31" s="8"/>
      <c r="AB31" s="8"/>
      <c r="AC31" s="7"/>
      <c r="AD31" s="78"/>
      <c r="AE31" s="78"/>
      <c r="AF31" s="78"/>
      <c r="AG31" s="78"/>
      <c r="AH31" s="78"/>
      <c r="AI31" s="78"/>
      <c r="AJ31" s="8">
        <v>590</v>
      </c>
      <c r="AK31" s="78"/>
      <c r="AL31" s="78"/>
      <c r="AM31" s="78"/>
      <c r="AN31" s="78"/>
    </row>
    <row r="32" s="1" customFormat="1" outlineLevel="1" spans="1:40">
      <c r="A32" s="99"/>
      <c r="B32" s="104"/>
      <c r="C32" s="101"/>
      <c r="D32" s="16">
        <f t="shared" si="5"/>
        <v>0.6</v>
      </c>
      <c r="E32" s="16">
        <f t="shared" si="6"/>
        <v>0.636</v>
      </c>
      <c r="F32" s="17"/>
      <c r="G32" s="17"/>
      <c r="H32" s="17"/>
      <c r="I32" s="17"/>
      <c r="J32" s="17"/>
      <c r="K32" s="21" t="s">
        <v>50</v>
      </c>
      <c r="L32" s="9"/>
      <c r="M32" s="9"/>
      <c r="N32" s="8"/>
      <c r="O32" s="9"/>
      <c r="P32" s="9"/>
      <c r="Q32" s="21" t="s">
        <v>50</v>
      </c>
      <c r="R32" s="9">
        <v>0.6</v>
      </c>
      <c r="S32" s="9">
        <f t="shared" si="10"/>
        <v>0.636</v>
      </c>
      <c r="T32" s="8"/>
      <c r="U32" s="9"/>
      <c r="V32" s="9"/>
      <c r="W32" s="8"/>
      <c r="X32" s="9"/>
      <c r="Y32" s="9"/>
      <c r="Z32" s="8"/>
      <c r="AA32" s="8"/>
      <c r="AB32" s="8"/>
      <c r="AC32" s="7"/>
      <c r="AD32" s="78"/>
      <c r="AE32" s="78"/>
      <c r="AF32" s="78"/>
      <c r="AG32" s="78"/>
      <c r="AH32" s="78"/>
      <c r="AI32" s="78"/>
      <c r="AJ32" s="8">
        <v>590</v>
      </c>
      <c r="AK32" s="78"/>
      <c r="AL32" s="78"/>
      <c r="AM32" s="78"/>
      <c r="AN32" s="78"/>
    </row>
    <row r="33" s="1" customFormat="1" outlineLevel="1" spans="1:40">
      <c r="A33" s="99"/>
      <c r="B33" s="104"/>
      <c r="C33" s="101"/>
      <c r="D33" s="16">
        <f t="shared" si="5"/>
        <v>0.4</v>
      </c>
      <c r="E33" s="16">
        <f t="shared" si="6"/>
        <v>0.424</v>
      </c>
      <c r="F33" s="17"/>
      <c r="G33" s="17"/>
      <c r="H33" s="17"/>
      <c r="I33" s="17"/>
      <c r="J33" s="17"/>
      <c r="K33" s="21" t="s">
        <v>51</v>
      </c>
      <c r="L33" s="9"/>
      <c r="M33" s="9"/>
      <c r="N33" s="8"/>
      <c r="O33" s="9"/>
      <c r="P33" s="9"/>
      <c r="Q33" s="21" t="s">
        <v>51</v>
      </c>
      <c r="R33" s="9">
        <v>0.4</v>
      </c>
      <c r="S33" s="9">
        <f t="shared" si="10"/>
        <v>0.424</v>
      </c>
      <c r="T33" s="8"/>
      <c r="U33" s="9"/>
      <c r="V33" s="9"/>
      <c r="W33" s="8"/>
      <c r="X33" s="9"/>
      <c r="Y33" s="9"/>
      <c r="Z33" s="8"/>
      <c r="AA33" s="8"/>
      <c r="AB33" s="8"/>
      <c r="AC33" s="7"/>
      <c r="AD33" s="78"/>
      <c r="AE33" s="78"/>
      <c r="AF33" s="78"/>
      <c r="AG33" s="78"/>
      <c r="AH33" s="78"/>
      <c r="AI33" s="78"/>
      <c r="AJ33" s="8">
        <v>590</v>
      </c>
      <c r="AK33" s="78"/>
      <c r="AL33" s="78"/>
      <c r="AM33" s="78"/>
      <c r="AN33" s="78"/>
    </row>
    <row r="34" s="1" customFormat="1" outlineLevel="1" spans="1:40">
      <c r="A34" s="99"/>
      <c r="B34" s="104"/>
      <c r="C34" s="101"/>
      <c r="D34" s="16">
        <f t="shared" si="5"/>
        <v>0.6</v>
      </c>
      <c r="E34" s="16">
        <f t="shared" si="6"/>
        <v>0.636</v>
      </c>
      <c r="F34" s="17"/>
      <c r="G34" s="17"/>
      <c r="H34" s="17"/>
      <c r="I34" s="17"/>
      <c r="J34" s="17" t="s">
        <v>52</v>
      </c>
      <c r="K34" s="21" t="s">
        <v>49</v>
      </c>
      <c r="L34" s="9"/>
      <c r="M34" s="9"/>
      <c r="N34" s="8"/>
      <c r="O34" s="9"/>
      <c r="P34" s="9"/>
      <c r="Q34" s="21"/>
      <c r="R34" s="9"/>
      <c r="S34" s="9"/>
      <c r="T34" s="21" t="s">
        <v>49</v>
      </c>
      <c r="U34" s="9">
        <v>0.6</v>
      </c>
      <c r="V34" s="9">
        <f>U34*1.06</f>
        <v>0.636</v>
      </c>
      <c r="W34" s="8"/>
      <c r="X34" s="9"/>
      <c r="Y34" s="9"/>
      <c r="Z34" s="8"/>
      <c r="AA34" s="8"/>
      <c r="AB34" s="8"/>
      <c r="AC34" s="7"/>
      <c r="AD34" s="78"/>
      <c r="AE34" s="78"/>
      <c r="AF34" s="78"/>
      <c r="AG34" s="78"/>
      <c r="AH34" s="78"/>
      <c r="AI34" s="78"/>
      <c r="AJ34" s="8">
        <v>590</v>
      </c>
      <c r="AK34" s="78"/>
      <c r="AL34" s="78"/>
      <c r="AM34" s="78"/>
      <c r="AN34" s="78"/>
    </row>
    <row r="35" s="1" customFormat="1" outlineLevel="1" spans="1:40">
      <c r="A35" s="99"/>
      <c r="B35" s="104"/>
      <c r="C35" s="101"/>
      <c r="D35" s="16">
        <f t="shared" si="5"/>
        <v>0.67</v>
      </c>
      <c r="E35" s="16">
        <f t="shared" si="6"/>
        <v>0.7102</v>
      </c>
      <c r="F35" s="17"/>
      <c r="G35" s="17"/>
      <c r="H35" s="17"/>
      <c r="I35" s="17"/>
      <c r="J35" s="17" t="s">
        <v>55</v>
      </c>
      <c r="K35" s="7" t="s">
        <v>56</v>
      </c>
      <c r="L35" s="9"/>
      <c r="M35" s="9"/>
      <c r="N35" s="8"/>
      <c r="O35" s="9"/>
      <c r="P35" s="9"/>
      <c r="Q35" s="21"/>
      <c r="R35" s="9"/>
      <c r="S35" s="9"/>
      <c r="T35" s="21"/>
      <c r="U35" s="9"/>
      <c r="V35" s="9"/>
      <c r="W35" s="7" t="s">
        <v>56</v>
      </c>
      <c r="X35" s="9">
        <v>0.67</v>
      </c>
      <c r="Y35" s="9">
        <f>X35*1.06</f>
        <v>0.7102</v>
      </c>
      <c r="Z35" s="8"/>
      <c r="AA35" s="8"/>
      <c r="AB35" s="8"/>
      <c r="AC35" s="7"/>
      <c r="AD35" s="79"/>
      <c r="AE35" s="79"/>
      <c r="AF35" s="79"/>
      <c r="AG35" s="79"/>
      <c r="AH35" s="79"/>
      <c r="AI35" s="79"/>
      <c r="AJ35" s="8">
        <v>590</v>
      </c>
      <c r="AK35" s="79"/>
      <c r="AL35" s="79"/>
      <c r="AM35" s="79"/>
      <c r="AN35" s="79"/>
    </row>
    <row r="36" s="1" customFormat="1" outlineLevel="1" spans="1:40">
      <c r="A36" s="99" t="s">
        <v>61</v>
      </c>
      <c r="B36" s="103" t="s">
        <v>62</v>
      </c>
      <c r="C36" s="101" t="s">
        <v>30</v>
      </c>
      <c r="D36" s="16">
        <f t="shared" si="5"/>
        <v>90.36</v>
      </c>
      <c r="E36" s="16">
        <f t="shared" si="6"/>
        <v>99.396</v>
      </c>
      <c r="F36" s="17">
        <f>SUM(D36:D46)</f>
        <v>3043.48</v>
      </c>
      <c r="G36" s="17">
        <f>SUM(E36:E46)</f>
        <v>3347.828</v>
      </c>
      <c r="H36" s="17">
        <v>852</v>
      </c>
      <c r="I36" s="17">
        <f>G36*H36</f>
        <v>2852349.456</v>
      </c>
      <c r="J36" s="17" t="s">
        <v>31</v>
      </c>
      <c r="K36" s="21" t="s">
        <v>63</v>
      </c>
      <c r="L36" s="9">
        <v>90.36</v>
      </c>
      <c r="M36" s="9">
        <f>L36*1.1</f>
        <v>99.396</v>
      </c>
      <c r="N36" s="8"/>
      <c r="O36" s="9"/>
      <c r="P36" s="9"/>
      <c r="Q36" s="8"/>
      <c r="R36" s="9"/>
      <c r="S36" s="9"/>
      <c r="T36" s="8"/>
      <c r="U36" s="9"/>
      <c r="V36" s="9"/>
      <c r="W36" s="8"/>
      <c r="X36" s="9"/>
      <c r="Y36" s="9"/>
      <c r="Z36" s="8"/>
      <c r="AA36" s="8"/>
      <c r="AB36" s="8">
        <v>852</v>
      </c>
      <c r="AC36" s="7" t="s">
        <v>64</v>
      </c>
      <c r="AD36" s="77">
        <v>540</v>
      </c>
      <c r="AE36" s="77">
        <f>AD36*$F$36</f>
        <v>1643479.2</v>
      </c>
      <c r="AF36" s="77">
        <v>540</v>
      </c>
      <c r="AG36" s="77">
        <f t="shared" ref="AE36:AI36" si="11">AF36*$F$36</f>
        <v>1643479.2</v>
      </c>
      <c r="AH36" s="77">
        <v>560</v>
      </c>
      <c r="AI36" s="77">
        <f t="shared" si="11"/>
        <v>1704348.8</v>
      </c>
      <c r="AJ36" s="8">
        <v>750</v>
      </c>
      <c r="AK36" s="77">
        <v>801.21</v>
      </c>
      <c r="AL36" s="77">
        <f>AK36*$F$36</f>
        <v>2438466.6108</v>
      </c>
      <c r="AM36" s="77">
        <v>740</v>
      </c>
      <c r="AN36" s="77">
        <f>AM36*$F$36</f>
        <v>2252175.2</v>
      </c>
    </row>
    <row r="37" s="1" customFormat="1" outlineLevel="1" spans="1:40">
      <c r="A37" s="99"/>
      <c r="B37" s="103"/>
      <c r="C37" s="101"/>
      <c r="D37" s="16">
        <f t="shared" si="5"/>
        <v>391.84</v>
      </c>
      <c r="E37" s="16">
        <f t="shared" si="6"/>
        <v>431.024</v>
      </c>
      <c r="F37" s="17"/>
      <c r="G37" s="17"/>
      <c r="H37" s="17"/>
      <c r="I37" s="17"/>
      <c r="J37" s="17"/>
      <c r="K37" s="21" t="s">
        <v>38</v>
      </c>
      <c r="L37" s="9">
        <v>391.84</v>
      </c>
      <c r="M37" s="9">
        <f>L37*1.1</f>
        <v>431.024</v>
      </c>
      <c r="N37" s="8"/>
      <c r="O37" s="9"/>
      <c r="P37" s="9"/>
      <c r="Q37" s="8"/>
      <c r="R37" s="9"/>
      <c r="S37" s="9"/>
      <c r="T37" s="8"/>
      <c r="U37" s="9"/>
      <c r="V37" s="9"/>
      <c r="W37" s="8"/>
      <c r="X37" s="9"/>
      <c r="Y37" s="9"/>
      <c r="Z37" s="8"/>
      <c r="AA37" s="8"/>
      <c r="AB37" s="8"/>
      <c r="AC37" s="7"/>
      <c r="AD37" s="78"/>
      <c r="AE37" s="78"/>
      <c r="AF37" s="78">
        <v>540</v>
      </c>
      <c r="AG37" s="78"/>
      <c r="AH37" s="78"/>
      <c r="AI37" s="78"/>
      <c r="AJ37" s="8">
        <v>750</v>
      </c>
      <c r="AK37" s="78"/>
      <c r="AL37" s="78"/>
      <c r="AM37" s="78"/>
      <c r="AN37" s="78"/>
    </row>
    <row r="38" s="1" customFormat="1" outlineLevel="1" spans="1:40">
      <c r="A38" s="99"/>
      <c r="B38" s="103"/>
      <c r="C38" s="101"/>
      <c r="D38" s="16">
        <f t="shared" si="5"/>
        <v>424.12</v>
      </c>
      <c r="E38" s="16">
        <f t="shared" si="6"/>
        <v>466.532</v>
      </c>
      <c r="F38" s="17"/>
      <c r="G38" s="17"/>
      <c r="H38" s="17"/>
      <c r="I38" s="17"/>
      <c r="J38" s="17" t="s">
        <v>39</v>
      </c>
      <c r="K38" s="21" t="s">
        <v>40</v>
      </c>
      <c r="L38" s="9"/>
      <c r="M38" s="9"/>
      <c r="N38" s="21" t="s">
        <v>40</v>
      </c>
      <c r="O38" s="9">
        <v>424.12</v>
      </c>
      <c r="P38" s="9">
        <f t="shared" ref="P38:P42" si="12">O38*1.1</f>
        <v>466.532</v>
      </c>
      <c r="Q38" s="8"/>
      <c r="R38" s="9"/>
      <c r="S38" s="9"/>
      <c r="T38" s="8"/>
      <c r="U38" s="9"/>
      <c r="V38" s="9"/>
      <c r="W38" s="8"/>
      <c r="X38" s="9"/>
      <c r="Y38" s="9"/>
      <c r="Z38" s="8"/>
      <c r="AA38" s="8"/>
      <c r="AB38" s="8"/>
      <c r="AC38" s="7"/>
      <c r="AD38" s="78"/>
      <c r="AE38" s="78"/>
      <c r="AF38" s="78">
        <v>540</v>
      </c>
      <c r="AG38" s="78"/>
      <c r="AH38" s="78"/>
      <c r="AI38" s="78"/>
      <c r="AJ38" s="8">
        <v>750</v>
      </c>
      <c r="AK38" s="78"/>
      <c r="AL38" s="78"/>
      <c r="AM38" s="78"/>
      <c r="AN38" s="78"/>
    </row>
    <row r="39" s="1" customFormat="1" outlineLevel="1" spans="1:40">
      <c r="A39" s="99"/>
      <c r="B39" s="103"/>
      <c r="C39" s="101"/>
      <c r="D39" s="16">
        <f t="shared" si="5"/>
        <v>378.71</v>
      </c>
      <c r="E39" s="16">
        <f t="shared" si="6"/>
        <v>416.581</v>
      </c>
      <c r="F39" s="17"/>
      <c r="G39" s="17"/>
      <c r="H39" s="17"/>
      <c r="I39" s="17"/>
      <c r="J39" s="17"/>
      <c r="K39" s="8" t="s">
        <v>41</v>
      </c>
      <c r="L39" s="9"/>
      <c r="M39" s="9"/>
      <c r="N39" s="8" t="s">
        <v>41</v>
      </c>
      <c r="O39" s="9">
        <v>378.71</v>
      </c>
      <c r="P39" s="9">
        <f t="shared" si="12"/>
        <v>416.581</v>
      </c>
      <c r="Q39" s="8"/>
      <c r="R39" s="9"/>
      <c r="S39" s="9"/>
      <c r="T39" s="8"/>
      <c r="U39" s="9"/>
      <c r="V39" s="9"/>
      <c r="W39" s="8"/>
      <c r="X39" s="9"/>
      <c r="Y39" s="9"/>
      <c r="Z39" s="8"/>
      <c r="AA39" s="8"/>
      <c r="AB39" s="8"/>
      <c r="AC39" s="7"/>
      <c r="AD39" s="78"/>
      <c r="AE39" s="78"/>
      <c r="AF39" s="78">
        <v>540</v>
      </c>
      <c r="AG39" s="78"/>
      <c r="AH39" s="78"/>
      <c r="AI39" s="78"/>
      <c r="AJ39" s="8">
        <v>750</v>
      </c>
      <c r="AK39" s="78"/>
      <c r="AL39" s="78"/>
      <c r="AM39" s="78"/>
      <c r="AN39" s="78"/>
    </row>
    <row r="40" s="1" customFormat="1" outlineLevel="1" spans="1:40">
      <c r="A40" s="99"/>
      <c r="B40" s="103"/>
      <c r="C40" s="101"/>
      <c r="D40" s="16">
        <f t="shared" si="5"/>
        <v>314.31</v>
      </c>
      <c r="E40" s="16">
        <f t="shared" si="6"/>
        <v>345.741</v>
      </c>
      <c r="F40" s="17"/>
      <c r="G40" s="17"/>
      <c r="H40" s="17"/>
      <c r="I40" s="17"/>
      <c r="J40" s="17"/>
      <c r="K40" s="21" t="s">
        <v>43</v>
      </c>
      <c r="L40" s="9"/>
      <c r="M40" s="9"/>
      <c r="N40" s="21" t="s">
        <v>43</v>
      </c>
      <c r="O40" s="9">
        <v>314.31</v>
      </c>
      <c r="P40" s="9">
        <f t="shared" si="12"/>
        <v>345.741</v>
      </c>
      <c r="Q40" s="8"/>
      <c r="R40" s="9"/>
      <c r="S40" s="9"/>
      <c r="T40" s="8"/>
      <c r="U40" s="9"/>
      <c r="V40" s="9"/>
      <c r="W40" s="8"/>
      <c r="X40" s="9"/>
      <c r="Y40" s="9"/>
      <c r="Z40" s="8"/>
      <c r="AA40" s="8"/>
      <c r="AB40" s="8"/>
      <c r="AC40" s="7"/>
      <c r="AD40" s="78"/>
      <c r="AE40" s="78"/>
      <c r="AF40" s="78">
        <v>540</v>
      </c>
      <c r="AG40" s="78"/>
      <c r="AH40" s="78"/>
      <c r="AI40" s="78"/>
      <c r="AJ40" s="8">
        <v>750</v>
      </c>
      <c r="AK40" s="78"/>
      <c r="AL40" s="78"/>
      <c r="AM40" s="78"/>
      <c r="AN40" s="78"/>
    </row>
    <row r="41" s="1" customFormat="1" outlineLevel="1" spans="1:40">
      <c r="A41" s="99"/>
      <c r="B41" s="103"/>
      <c r="C41" s="101"/>
      <c r="D41" s="16">
        <f t="shared" si="5"/>
        <v>390.17</v>
      </c>
      <c r="E41" s="16">
        <f t="shared" si="6"/>
        <v>429.187</v>
      </c>
      <c r="F41" s="17"/>
      <c r="G41" s="17"/>
      <c r="H41" s="17"/>
      <c r="I41" s="17"/>
      <c r="J41" s="17"/>
      <c r="K41" s="21" t="s">
        <v>45</v>
      </c>
      <c r="L41" s="9"/>
      <c r="M41" s="9"/>
      <c r="N41" s="21" t="s">
        <v>45</v>
      </c>
      <c r="O41" s="9">
        <v>390.17</v>
      </c>
      <c r="P41" s="9">
        <f t="shared" si="12"/>
        <v>429.187</v>
      </c>
      <c r="Q41" s="8"/>
      <c r="R41" s="9"/>
      <c r="S41" s="9"/>
      <c r="T41" s="8"/>
      <c r="U41" s="9"/>
      <c r="V41" s="9"/>
      <c r="W41" s="8"/>
      <c r="X41" s="9"/>
      <c r="Y41" s="9"/>
      <c r="Z41" s="8"/>
      <c r="AA41" s="8"/>
      <c r="AB41" s="8"/>
      <c r="AC41" s="7"/>
      <c r="AD41" s="78"/>
      <c r="AE41" s="78"/>
      <c r="AF41" s="78">
        <v>540</v>
      </c>
      <c r="AG41" s="78"/>
      <c r="AH41" s="78"/>
      <c r="AI41" s="78"/>
      <c r="AJ41" s="8">
        <v>750</v>
      </c>
      <c r="AK41" s="78"/>
      <c r="AL41" s="78"/>
      <c r="AM41" s="78"/>
      <c r="AN41" s="78"/>
    </row>
    <row r="42" s="1" customFormat="1" outlineLevel="1" spans="1:40">
      <c r="A42" s="99"/>
      <c r="B42" s="103"/>
      <c r="C42" s="101"/>
      <c r="D42" s="16">
        <f t="shared" si="5"/>
        <v>114.16</v>
      </c>
      <c r="E42" s="16">
        <f t="shared" si="6"/>
        <v>125.576</v>
      </c>
      <c r="F42" s="17"/>
      <c r="G42" s="17"/>
      <c r="H42" s="17"/>
      <c r="I42" s="17"/>
      <c r="J42" s="17"/>
      <c r="K42" s="8" t="s">
        <v>46</v>
      </c>
      <c r="L42" s="9"/>
      <c r="M42" s="9"/>
      <c r="N42" s="8" t="s">
        <v>46</v>
      </c>
      <c r="O42" s="9">
        <v>114.16</v>
      </c>
      <c r="P42" s="9">
        <f t="shared" si="12"/>
        <v>125.576</v>
      </c>
      <c r="Q42" s="8"/>
      <c r="R42" s="9"/>
      <c r="S42" s="9"/>
      <c r="T42" s="8"/>
      <c r="U42" s="9"/>
      <c r="V42" s="9"/>
      <c r="W42" s="8"/>
      <c r="X42" s="9"/>
      <c r="Y42" s="9"/>
      <c r="Z42" s="8"/>
      <c r="AA42" s="8"/>
      <c r="AB42" s="8"/>
      <c r="AC42" s="7"/>
      <c r="AD42" s="78"/>
      <c r="AE42" s="78"/>
      <c r="AF42" s="78">
        <v>540</v>
      </c>
      <c r="AG42" s="78"/>
      <c r="AH42" s="78"/>
      <c r="AI42" s="78"/>
      <c r="AJ42" s="8">
        <v>750</v>
      </c>
      <c r="AK42" s="78"/>
      <c r="AL42" s="78"/>
      <c r="AM42" s="78"/>
      <c r="AN42" s="78"/>
    </row>
    <row r="43" s="1" customFormat="1" outlineLevel="1" spans="1:40">
      <c r="A43" s="99"/>
      <c r="B43" s="103"/>
      <c r="C43" s="101"/>
      <c r="D43" s="16">
        <f t="shared" si="5"/>
        <v>282.16</v>
      </c>
      <c r="E43" s="16">
        <f t="shared" si="6"/>
        <v>310.376</v>
      </c>
      <c r="F43" s="17"/>
      <c r="G43" s="17"/>
      <c r="H43" s="17"/>
      <c r="I43" s="17"/>
      <c r="J43" s="17" t="s">
        <v>48</v>
      </c>
      <c r="K43" s="21" t="s">
        <v>65</v>
      </c>
      <c r="L43" s="9"/>
      <c r="M43" s="9"/>
      <c r="N43" s="8"/>
      <c r="O43" s="9"/>
      <c r="P43" s="9"/>
      <c r="Q43" s="21" t="s">
        <v>65</v>
      </c>
      <c r="R43" s="9">
        <v>282.16</v>
      </c>
      <c r="S43" s="9">
        <f>R43*1.1</f>
        <v>310.376</v>
      </c>
      <c r="T43" s="8"/>
      <c r="U43" s="9"/>
      <c r="V43" s="9"/>
      <c r="W43" s="8"/>
      <c r="X43" s="9"/>
      <c r="Y43" s="9"/>
      <c r="Z43" s="8"/>
      <c r="AA43" s="8"/>
      <c r="AB43" s="8"/>
      <c r="AC43" s="7"/>
      <c r="AD43" s="78"/>
      <c r="AE43" s="78"/>
      <c r="AF43" s="78">
        <v>540</v>
      </c>
      <c r="AG43" s="78"/>
      <c r="AH43" s="78"/>
      <c r="AI43" s="78"/>
      <c r="AJ43" s="8">
        <v>750</v>
      </c>
      <c r="AK43" s="78"/>
      <c r="AL43" s="78"/>
      <c r="AM43" s="78"/>
      <c r="AN43" s="78"/>
    </row>
    <row r="44" s="1" customFormat="1" outlineLevel="1" spans="1:40">
      <c r="A44" s="99"/>
      <c r="B44" s="103"/>
      <c r="C44" s="101"/>
      <c r="D44" s="16">
        <f t="shared" si="5"/>
        <v>207.7</v>
      </c>
      <c r="E44" s="16">
        <f t="shared" si="6"/>
        <v>228.47</v>
      </c>
      <c r="F44" s="17"/>
      <c r="G44" s="17"/>
      <c r="H44" s="17"/>
      <c r="I44" s="17"/>
      <c r="J44" s="17" t="s">
        <v>52</v>
      </c>
      <c r="K44" s="21" t="s">
        <v>49</v>
      </c>
      <c r="L44" s="9"/>
      <c r="M44" s="9"/>
      <c r="N44" s="8"/>
      <c r="O44" s="9"/>
      <c r="P44" s="9"/>
      <c r="Q44" s="21"/>
      <c r="R44" s="9"/>
      <c r="S44" s="9"/>
      <c r="T44" s="21" t="s">
        <v>49</v>
      </c>
      <c r="U44" s="9">
        <v>207.7</v>
      </c>
      <c r="V44" s="9">
        <f>U44*1.1</f>
        <v>228.47</v>
      </c>
      <c r="W44" s="8"/>
      <c r="X44" s="9"/>
      <c r="Y44" s="9"/>
      <c r="Z44" s="8"/>
      <c r="AA44" s="8"/>
      <c r="AB44" s="8"/>
      <c r="AC44" s="7"/>
      <c r="AD44" s="78"/>
      <c r="AE44" s="78"/>
      <c r="AF44" s="78">
        <v>540</v>
      </c>
      <c r="AG44" s="78"/>
      <c r="AH44" s="78"/>
      <c r="AI44" s="78"/>
      <c r="AJ44" s="8">
        <v>750</v>
      </c>
      <c r="AK44" s="78"/>
      <c r="AL44" s="78"/>
      <c r="AM44" s="78"/>
      <c r="AN44" s="78"/>
    </row>
    <row r="45" s="1" customFormat="1" outlineLevel="1" spans="1:40">
      <c r="A45" s="99"/>
      <c r="B45" s="103"/>
      <c r="C45" s="101"/>
      <c r="D45" s="16">
        <f t="shared" si="5"/>
        <v>143.13</v>
      </c>
      <c r="E45" s="16">
        <f t="shared" si="6"/>
        <v>157.443</v>
      </c>
      <c r="F45" s="17"/>
      <c r="G45" s="17"/>
      <c r="H45" s="17"/>
      <c r="I45" s="17"/>
      <c r="J45" s="17"/>
      <c r="K45" s="21" t="s">
        <v>50</v>
      </c>
      <c r="L45" s="9"/>
      <c r="M45" s="9"/>
      <c r="N45" s="8"/>
      <c r="O45" s="9"/>
      <c r="P45" s="9"/>
      <c r="Q45" s="21"/>
      <c r="R45" s="9"/>
      <c r="S45" s="9"/>
      <c r="T45" s="21" t="s">
        <v>50</v>
      </c>
      <c r="U45" s="9">
        <v>143.13</v>
      </c>
      <c r="V45" s="9">
        <f>U45*1.1</f>
        <v>157.443</v>
      </c>
      <c r="W45" s="8"/>
      <c r="X45" s="9"/>
      <c r="Y45" s="9"/>
      <c r="Z45" s="8"/>
      <c r="AA45" s="8"/>
      <c r="AB45" s="8"/>
      <c r="AC45" s="7"/>
      <c r="AD45" s="78"/>
      <c r="AE45" s="78"/>
      <c r="AF45" s="78">
        <v>540</v>
      </c>
      <c r="AG45" s="78"/>
      <c r="AH45" s="78"/>
      <c r="AI45" s="78"/>
      <c r="AJ45" s="8">
        <v>750</v>
      </c>
      <c r="AK45" s="78"/>
      <c r="AL45" s="78"/>
      <c r="AM45" s="78"/>
      <c r="AN45" s="78"/>
    </row>
    <row r="46" s="1" customFormat="1" outlineLevel="1" spans="1:40">
      <c r="A46" s="99"/>
      <c r="B46" s="103"/>
      <c r="C46" s="101"/>
      <c r="D46" s="16">
        <f t="shared" si="5"/>
        <v>306.82</v>
      </c>
      <c r="E46" s="16">
        <f t="shared" si="6"/>
        <v>337.502</v>
      </c>
      <c r="F46" s="17"/>
      <c r="G46" s="17"/>
      <c r="H46" s="17"/>
      <c r="I46" s="17"/>
      <c r="J46" s="17" t="s">
        <v>55</v>
      </c>
      <c r="K46" s="7" t="s">
        <v>56</v>
      </c>
      <c r="L46" s="9"/>
      <c r="M46" s="9"/>
      <c r="N46" s="8"/>
      <c r="O46" s="9"/>
      <c r="P46" s="9"/>
      <c r="Q46" s="21"/>
      <c r="R46" s="9"/>
      <c r="S46" s="9"/>
      <c r="T46" s="21"/>
      <c r="U46" s="9"/>
      <c r="V46" s="9"/>
      <c r="W46" s="7" t="s">
        <v>56</v>
      </c>
      <c r="X46" s="9">
        <v>306.82</v>
      </c>
      <c r="Y46" s="9">
        <f>X46*1.1</f>
        <v>337.502</v>
      </c>
      <c r="Z46" s="8"/>
      <c r="AA46" s="8"/>
      <c r="AB46" s="8"/>
      <c r="AC46" s="7"/>
      <c r="AD46" s="79"/>
      <c r="AE46" s="79"/>
      <c r="AF46" s="79">
        <v>540</v>
      </c>
      <c r="AG46" s="79"/>
      <c r="AH46" s="79"/>
      <c r="AI46" s="79"/>
      <c r="AJ46" s="8">
        <v>750</v>
      </c>
      <c r="AK46" s="79"/>
      <c r="AL46" s="79"/>
      <c r="AM46" s="79"/>
      <c r="AN46" s="79"/>
    </row>
    <row r="47" s="1" customFormat="1" outlineLevel="1" spans="1:40">
      <c r="A47" s="99" t="s">
        <v>61</v>
      </c>
      <c r="B47" s="103" t="s">
        <v>66</v>
      </c>
      <c r="C47" s="101" t="s">
        <v>30</v>
      </c>
      <c r="D47" s="16">
        <f t="shared" si="5"/>
        <v>96.76</v>
      </c>
      <c r="E47" s="16">
        <f t="shared" si="6"/>
        <v>98.6952</v>
      </c>
      <c r="F47" s="17">
        <f>SUM(D47:D57)</f>
        <v>477.76</v>
      </c>
      <c r="G47" s="17">
        <f>SUM(E47:E48)</f>
        <v>122.9304</v>
      </c>
      <c r="H47" s="17">
        <v>780</v>
      </c>
      <c r="I47" s="17">
        <f>G49*H47</f>
        <v>290261.205</v>
      </c>
      <c r="J47" s="17" t="s">
        <v>31</v>
      </c>
      <c r="K47" s="21" t="s">
        <v>32</v>
      </c>
      <c r="L47" s="9">
        <v>96.76</v>
      </c>
      <c r="M47" s="9">
        <f>L47*1.02</f>
        <v>98.6952</v>
      </c>
      <c r="N47" s="8"/>
      <c r="O47" s="9"/>
      <c r="P47" s="9"/>
      <c r="Q47" s="8"/>
      <c r="R47" s="9"/>
      <c r="S47" s="9"/>
      <c r="T47" s="8"/>
      <c r="U47" s="9"/>
      <c r="V47" s="9"/>
      <c r="W47" s="8"/>
      <c r="X47" s="9"/>
      <c r="Y47" s="9"/>
      <c r="Z47" s="8"/>
      <c r="AA47" s="8"/>
      <c r="AB47" s="8">
        <v>780</v>
      </c>
      <c r="AC47" s="7" t="s">
        <v>67</v>
      </c>
      <c r="AD47" s="77">
        <v>540</v>
      </c>
      <c r="AE47" s="77">
        <f>AD47*$F$47</f>
        <v>257990.4</v>
      </c>
      <c r="AF47" s="77">
        <v>650</v>
      </c>
      <c r="AG47" s="77">
        <f t="shared" ref="AE47:AI47" si="13">AF47*$F$47</f>
        <v>310544</v>
      </c>
      <c r="AH47" s="77">
        <v>560</v>
      </c>
      <c r="AI47" s="77">
        <f t="shared" si="13"/>
        <v>267545.6</v>
      </c>
      <c r="AJ47" s="8">
        <v>750</v>
      </c>
      <c r="AK47" s="77">
        <v>1118.28</v>
      </c>
      <c r="AL47" s="77">
        <f>AK47*$F$47</f>
        <v>534269.4528</v>
      </c>
      <c r="AM47" s="77">
        <v>740</v>
      </c>
      <c r="AN47" s="77">
        <f>AM47*$F$47</f>
        <v>353542.4</v>
      </c>
    </row>
    <row r="48" s="1" customFormat="1" outlineLevel="1" spans="1:40">
      <c r="A48" s="99"/>
      <c r="B48" s="103"/>
      <c r="C48" s="101"/>
      <c r="D48" s="16">
        <f t="shared" si="5"/>
        <v>23.76</v>
      </c>
      <c r="E48" s="16">
        <f t="shared" si="6"/>
        <v>24.2352</v>
      </c>
      <c r="F48" s="17"/>
      <c r="G48" s="17"/>
      <c r="H48" s="17"/>
      <c r="I48" s="17"/>
      <c r="J48" s="17"/>
      <c r="K48" s="21" t="s">
        <v>34</v>
      </c>
      <c r="L48" s="9">
        <v>23.76</v>
      </c>
      <c r="M48" s="9">
        <f>L48*1.02</f>
        <v>24.2352</v>
      </c>
      <c r="N48" s="8"/>
      <c r="O48" s="9"/>
      <c r="P48" s="9"/>
      <c r="Q48" s="8"/>
      <c r="R48" s="9"/>
      <c r="S48" s="9"/>
      <c r="T48" s="8"/>
      <c r="U48" s="9"/>
      <c r="V48" s="9"/>
      <c r="W48" s="8"/>
      <c r="X48" s="9"/>
      <c r="Y48" s="9"/>
      <c r="Z48" s="8"/>
      <c r="AA48" s="8"/>
      <c r="AB48" s="8"/>
      <c r="AC48" s="7"/>
      <c r="AD48" s="78"/>
      <c r="AE48" s="78"/>
      <c r="AF48" s="78">
        <v>650</v>
      </c>
      <c r="AG48" s="78"/>
      <c r="AH48" s="78"/>
      <c r="AI48" s="78"/>
      <c r="AJ48" s="8">
        <v>750</v>
      </c>
      <c r="AK48" s="78"/>
      <c r="AL48" s="78"/>
      <c r="AM48" s="78"/>
      <c r="AN48" s="78"/>
    </row>
    <row r="49" s="1" customFormat="1" outlineLevel="1" spans="1:40">
      <c r="A49" s="99"/>
      <c r="B49" s="103"/>
      <c r="C49" s="101"/>
      <c r="D49" s="16">
        <f t="shared" si="5"/>
        <v>132.54</v>
      </c>
      <c r="E49" s="16">
        <f t="shared" si="6"/>
        <v>139.167</v>
      </c>
      <c r="F49" s="17"/>
      <c r="G49" s="17">
        <f>SUM(E49:E57)</f>
        <v>372.12975</v>
      </c>
      <c r="H49" s="17"/>
      <c r="I49" s="17"/>
      <c r="J49" s="17" t="s">
        <v>39</v>
      </c>
      <c r="K49" s="21" t="s">
        <v>40</v>
      </c>
      <c r="L49" s="9"/>
      <c r="M49" s="9"/>
      <c r="N49" s="21" t="s">
        <v>40</v>
      </c>
      <c r="O49" s="9">
        <v>132.54</v>
      </c>
      <c r="P49" s="9">
        <f t="shared" ref="P49:P51" si="14">O49*1.05</f>
        <v>139.167</v>
      </c>
      <c r="Q49" s="8"/>
      <c r="R49" s="9"/>
      <c r="S49" s="9"/>
      <c r="T49" s="8"/>
      <c r="U49" s="9"/>
      <c r="V49" s="9"/>
      <c r="W49" s="8"/>
      <c r="X49" s="9"/>
      <c r="Y49" s="9"/>
      <c r="Z49" s="8"/>
      <c r="AA49" s="8"/>
      <c r="AB49" s="8">
        <v>780</v>
      </c>
      <c r="AC49" s="7" t="s">
        <v>64</v>
      </c>
      <c r="AD49" s="78"/>
      <c r="AE49" s="78"/>
      <c r="AF49" s="78">
        <v>650</v>
      </c>
      <c r="AG49" s="78"/>
      <c r="AH49" s="78"/>
      <c r="AI49" s="78"/>
      <c r="AJ49" s="8">
        <v>750</v>
      </c>
      <c r="AK49" s="78"/>
      <c r="AL49" s="78"/>
      <c r="AM49" s="78"/>
      <c r="AN49" s="78"/>
    </row>
    <row r="50" s="1" customFormat="1" outlineLevel="1" spans="1:40">
      <c r="A50" s="99"/>
      <c r="B50" s="103"/>
      <c r="C50" s="101"/>
      <c r="D50" s="16">
        <f t="shared" si="5"/>
        <v>1.06</v>
      </c>
      <c r="E50" s="16">
        <f t="shared" si="6"/>
        <v>1.113</v>
      </c>
      <c r="F50" s="17"/>
      <c r="G50" s="17"/>
      <c r="H50" s="17"/>
      <c r="I50" s="17"/>
      <c r="J50" s="17"/>
      <c r="K50" s="8" t="s">
        <v>59</v>
      </c>
      <c r="L50" s="9"/>
      <c r="M50" s="9"/>
      <c r="N50" s="8" t="s">
        <v>59</v>
      </c>
      <c r="O50" s="9">
        <v>1.06</v>
      </c>
      <c r="P50" s="9">
        <f t="shared" si="14"/>
        <v>1.113</v>
      </c>
      <c r="Q50" s="8"/>
      <c r="R50" s="9"/>
      <c r="S50" s="9"/>
      <c r="T50" s="8"/>
      <c r="U50" s="9"/>
      <c r="V50" s="9"/>
      <c r="W50" s="8"/>
      <c r="X50" s="9"/>
      <c r="Y50" s="9"/>
      <c r="Z50" s="8"/>
      <c r="AA50" s="8"/>
      <c r="AB50" s="8"/>
      <c r="AC50" s="7"/>
      <c r="AD50" s="78"/>
      <c r="AE50" s="78"/>
      <c r="AF50" s="78">
        <v>650</v>
      </c>
      <c r="AG50" s="78"/>
      <c r="AH50" s="78"/>
      <c r="AI50" s="78"/>
      <c r="AJ50" s="8">
        <v>750</v>
      </c>
      <c r="AK50" s="78"/>
      <c r="AL50" s="78"/>
      <c r="AM50" s="78"/>
      <c r="AN50" s="78"/>
    </row>
    <row r="51" s="1" customFormat="1" outlineLevel="1" spans="1:40">
      <c r="A51" s="99"/>
      <c r="B51" s="103"/>
      <c r="C51" s="101"/>
      <c r="D51" s="16">
        <f t="shared" si="5"/>
        <v>1.06</v>
      </c>
      <c r="E51" s="16">
        <f t="shared" si="6"/>
        <v>1.113</v>
      </c>
      <c r="F51" s="17"/>
      <c r="G51" s="17"/>
      <c r="H51" s="17"/>
      <c r="I51" s="17"/>
      <c r="J51" s="17"/>
      <c r="K51" s="8" t="s">
        <v>60</v>
      </c>
      <c r="L51" s="9"/>
      <c r="M51" s="9"/>
      <c r="N51" s="8" t="s">
        <v>60</v>
      </c>
      <c r="O51" s="9">
        <v>1.06</v>
      </c>
      <c r="P51" s="9">
        <f t="shared" si="14"/>
        <v>1.113</v>
      </c>
      <c r="Q51" s="8"/>
      <c r="R51" s="9"/>
      <c r="S51" s="9"/>
      <c r="T51" s="8"/>
      <c r="U51" s="9"/>
      <c r="V51" s="9"/>
      <c r="W51" s="8"/>
      <c r="X51" s="9"/>
      <c r="Y51" s="9"/>
      <c r="Z51" s="8"/>
      <c r="AA51" s="8"/>
      <c r="AB51" s="8"/>
      <c r="AC51" s="7"/>
      <c r="AD51" s="78"/>
      <c r="AE51" s="78"/>
      <c r="AF51" s="78">
        <v>650</v>
      </c>
      <c r="AG51" s="78"/>
      <c r="AH51" s="78"/>
      <c r="AI51" s="78"/>
      <c r="AJ51" s="8">
        <v>750</v>
      </c>
      <c r="AK51" s="78"/>
      <c r="AL51" s="78"/>
      <c r="AM51" s="78"/>
      <c r="AN51" s="78"/>
    </row>
    <row r="52" s="1" customFormat="1" outlineLevel="1" spans="1:40">
      <c r="A52" s="99"/>
      <c r="B52" s="103"/>
      <c r="C52" s="101"/>
      <c r="D52" s="16">
        <f t="shared" ref="D52:D69" si="15">L52+O52+R52+U52+X52</f>
        <v>1.63</v>
      </c>
      <c r="E52" s="16">
        <f t="shared" ref="E52:E70" si="16">M52+P52+S52+V52+Y52</f>
        <v>2.5571</v>
      </c>
      <c r="F52" s="17"/>
      <c r="G52" s="17"/>
      <c r="H52" s="17"/>
      <c r="I52" s="17"/>
      <c r="J52" s="17"/>
      <c r="K52" s="21" t="s">
        <v>68</v>
      </c>
      <c r="L52" s="9"/>
      <c r="M52" s="9"/>
      <c r="N52" s="8"/>
      <c r="O52" s="9"/>
      <c r="P52" s="9"/>
      <c r="Q52" s="21" t="s">
        <v>54</v>
      </c>
      <c r="R52" s="9">
        <v>1.63</v>
      </c>
      <c r="S52" s="9">
        <v>2.5571</v>
      </c>
      <c r="T52" s="8"/>
      <c r="U52" s="9"/>
      <c r="V52" s="9"/>
      <c r="W52" s="8"/>
      <c r="X52" s="9"/>
      <c r="Y52" s="9"/>
      <c r="Z52" s="8"/>
      <c r="AA52" s="8"/>
      <c r="AB52" s="8"/>
      <c r="AC52" s="7" t="s">
        <v>69</v>
      </c>
      <c r="AD52" s="78"/>
      <c r="AE52" s="78"/>
      <c r="AF52" s="78">
        <v>650</v>
      </c>
      <c r="AG52" s="78"/>
      <c r="AH52" s="78"/>
      <c r="AI52" s="78"/>
      <c r="AJ52" s="8">
        <v>750</v>
      </c>
      <c r="AK52" s="78"/>
      <c r="AL52" s="78"/>
      <c r="AM52" s="78"/>
      <c r="AN52" s="78"/>
    </row>
    <row r="53" s="1" customFormat="1" outlineLevel="1" spans="1:40">
      <c r="A53" s="99"/>
      <c r="B53" s="103"/>
      <c r="C53" s="101"/>
      <c r="D53" s="16">
        <f t="shared" si="15"/>
        <v>1.63</v>
      </c>
      <c r="E53" s="16">
        <f t="shared" si="16"/>
        <v>1.65445</v>
      </c>
      <c r="F53" s="17"/>
      <c r="G53" s="17"/>
      <c r="H53" s="17"/>
      <c r="I53" s="17"/>
      <c r="J53" s="17"/>
      <c r="K53" s="21" t="s">
        <v>70</v>
      </c>
      <c r="L53" s="9"/>
      <c r="M53" s="9"/>
      <c r="N53" s="8"/>
      <c r="O53" s="9"/>
      <c r="P53" s="9"/>
      <c r="Q53" s="21" t="s">
        <v>54</v>
      </c>
      <c r="R53" s="9">
        <v>1.63</v>
      </c>
      <c r="S53" s="9">
        <f>R53*1.015</f>
        <v>1.65445</v>
      </c>
      <c r="T53" s="8"/>
      <c r="U53" s="9"/>
      <c r="V53" s="9"/>
      <c r="W53" s="8"/>
      <c r="X53" s="9"/>
      <c r="Y53" s="9"/>
      <c r="Z53" s="8"/>
      <c r="AA53" s="8"/>
      <c r="AB53" s="8"/>
      <c r="AC53" s="7" t="s">
        <v>71</v>
      </c>
      <c r="AD53" s="78"/>
      <c r="AE53" s="78"/>
      <c r="AF53" s="78">
        <v>650</v>
      </c>
      <c r="AG53" s="78"/>
      <c r="AH53" s="78"/>
      <c r="AI53" s="78"/>
      <c r="AJ53" s="8">
        <v>750</v>
      </c>
      <c r="AK53" s="78"/>
      <c r="AL53" s="78"/>
      <c r="AM53" s="78"/>
      <c r="AN53" s="78"/>
    </row>
    <row r="54" s="1" customFormat="1" outlineLevel="1" spans="1:40">
      <c r="A54" s="99"/>
      <c r="B54" s="103"/>
      <c r="C54" s="101"/>
      <c r="D54" s="16">
        <f t="shared" si="15"/>
        <v>1</v>
      </c>
      <c r="E54" s="16">
        <f t="shared" si="16"/>
        <v>1.02</v>
      </c>
      <c r="F54" s="17"/>
      <c r="G54" s="17"/>
      <c r="H54" s="17"/>
      <c r="I54" s="17"/>
      <c r="J54" s="17"/>
      <c r="K54" s="21" t="s">
        <v>72</v>
      </c>
      <c r="L54" s="9"/>
      <c r="M54" s="9"/>
      <c r="N54" s="8"/>
      <c r="O54" s="9"/>
      <c r="P54" s="9"/>
      <c r="Q54" s="21" t="s">
        <v>54</v>
      </c>
      <c r="R54" s="9">
        <v>1</v>
      </c>
      <c r="S54" s="9">
        <f>1.02</f>
        <v>1.02</v>
      </c>
      <c r="T54" s="8"/>
      <c r="U54" s="9"/>
      <c r="V54" s="9"/>
      <c r="W54" s="8"/>
      <c r="X54" s="9"/>
      <c r="Y54" s="9"/>
      <c r="Z54" s="8"/>
      <c r="AA54" s="8"/>
      <c r="AB54" s="8"/>
      <c r="AC54" s="7" t="s">
        <v>73</v>
      </c>
      <c r="AD54" s="78"/>
      <c r="AE54" s="78"/>
      <c r="AF54" s="78">
        <v>650</v>
      </c>
      <c r="AG54" s="78"/>
      <c r="AH54" s="78"/>
      <c r="AI54" s="78"/>
      <c r="AJ54" s="8">
        <v>750</v>
      </c>
      <c r="AK54" s="78"/>
      <c r="AL54" s="78"/>
      <c r="AM54" s="78"/>
      <c r="AN54" s="78"/>
    </row>
    <row r="55" s="1" customFormat="1" outlineLevel="1" spans="1:40">
      <c r="A55" s="99"/>
      <c r="B55" s="103"/>
      <c r="C55" s="101"/>
      <c r="D55" s="16">
        <f t="shared" si="15"/>
        <v>1</v>
      </c>
      <c r="E55" s="16">
        <f t="shared" si="16"/>
        <v>1.02</v>
      </c>
      <c r="F55" s="17"/>
      <c r="G55" s="17"/>
      <c r="H55" s="17"/>
      <c r="I55" s="17"/>
      <c r="J55" s="17" t="s">
        <v>52</v>
      </c>
      <c r="K55" s="8" t="s">
        <v>53</v>
      </c>
      <c r="L55" s="9"/>
      <c r="M55" s="9"/>
      <c r="N55" s="8"/>
      <c r="O55" s="9"/>
      <c r="P55" s="9"/>
      <c r="Q55" s="21"/>
      <c r="R55" s="9"/>
      <c r="S55" s="9"/>
      <c r="T55" s="8" t="s">
        <v>53</v>
      </c>
      <c r="U55" s="9">
        <v>1</v>
      </c>
      <c r="V55" s="9">
        <f>U55*1.02</f>
        <v>1.02</v>
      </c>
      <c r="W55" s="8"/>
      <c r="X55" s="9"/>
      <c r="Y55" s="9"/>
      <c r="Z55" s="8"/>
      <c r="AA55" s="8"/>
      <c r="AB55" s="8"/>
      <c r="AC55" s="7" t="s">
        <v>73</v>
      </c>
      <c r="AD55" s="78"/>
      <c r="AE55" s="78"/>
      <c r="AF55" s="78">
        <v>650</v>
      </c>
      <c r="AG55" s="78"/>
      <c r="AH55" s="78"/>
      <c r="AI55" s="78"/>
      <c r="AJ55" s="8">
        <v>750</v>
      </c>
      <c r="AK55" s="78"/>
      <c r="AL55" s="78"/>
      <c r="AM55" s="78"/>
      <c r="AN55" s="78"/>
    </row>
    <row r="56" s="1" customFormat="1" outlineLevel="1" spans="1:40">
      <c r="A56" s="99"/>
      <c r="B56" s="103"/>
      <c r="C56" s="101"/>
      <c r="D56" s="16">
        <f t="shared" si="15"/>
        <v>146.85</v>
      </c>
      <c r="E56" s="16">
        <f t="shared" si="16"/>
        <v>149.787</v>
      </c>
      <c r="F56" s="17"/>
      <c r="G56" s="17"/>
      <c r="H56" s="17"/>
      <c r="I56" s="17"/>
      <c r="J56" s="17"/>
      <c r="K56" s="8" t="s">
        <v>51</v>
      </c>
      <c r="L56" s="9"/>
      <c r="M56" s="9"/>
      <c r="N56" s="8"/>
      <c r="O56" s="9"/>
      <c r="P56" s="9"/>
      <c r="Q56" s="21"/>
      <c r="R56" s="9"/>
      <c r="S56" s="9"/>
      <c r="T56" s="8" t="s">
        <v>51</v>
      </c>
      <c r="U56" s="9">
        <v>146.85</v>
      </c>
      <c r="V56" s="9">
        <f>U56*1.02</f>
        <v>149.787</v>
      </c>
      <c r="W56" s="8"/>
      <c r="X56" s="9"/>
      <c r="Y56" s="9"/>
      <c r="Z56" s="8"/>
      <c r="AA56" s="8"/>
      <c r="AB56" s="8"/>
      <c r="AC56" s="7"/>
      <c r="AD56" s="78"/>
      <c r="AE56" s="78"/>
      <c r="AF56" s="78">
        <v>650</v>
      </c>
      <c r="AG56" s="78"/>
      <c r="AH56" s="78"/>
      <c r="AI56" s="78"/>
      <c r="AJ56" s="8">
        <v>750</v>
      </c>
      <c r="AK56" s="78"/>
      <c r="AL56" s="78"/>
      <c r="AM56" s="78"/>
      <c r="AN56" s="78"/>
    </row>
    <row r="57" s="1" customFormat="1" outlineLevel="1" spans="1:40">
      <c r="A57" s="99"/>
      <c r="B57" s="103"/>
      <c r="C57" s="101"/>
      <c r="D57" s="16">
        <f t="shared" si="15"/>
        <v>70.47</v>
      </c>
      <c r="E57" s="16">
        <f t="shared" si="16"/>
        <v>74.6982</v>
      </c>
      <c r="F57" s="17"/>
      <c r="G57" s="17"/>
      <c r="H57" s="17"/>
      <c r="I57" s="17"/>
      <c r="J57" s="16" t="s">
        <v>55</v>
      </c>
      <c r="K57" s="7" t="s">
        <v>56</v>
      </c>
      <c r="L57" s="9"/>
      <c r="M57" s="9"/>
      <c r="N57" s="8"/>
      <c r="O57" s="9"/>
      <c r="P57" s="9"/>
      <c r="Q57" s="21"/>
      <c r="R57" s="9"/>
      <c r="S57" s="9"/>
      <c r="T57" s="8"/>
      <c r="U57" s="9"/>
      <c r="V57" s="9"/>
      <c r="W57" s="7" t="s">
        <v>56</v>
      </c>
      <c r="X57" s="9">
        <v>70.47</v>
      </c>
      <c r="Y57" s="9">
        <f>X57*1.06</f>
        <v>74.6982</v>
      </c>
      <c r="Z57" s="8"/>
      <c r="AA57" s="8"/>
      <c r="AB57" s="8"/>
      <c r="AC57" s="7"/>
      <c r="AD57" s="79"/>
      <c r="AE57" s="79"/>
      <c r="AF57" s="79">
        <v>650</v>
      </c>
      <c r="AG57" s="79"/>
      <c r="AH57" s="79"/>
      <c r="AI57" s="79"/>
      <c r="AJ57" s="8">
        <v>750</v>
      </c>
      <c r="AK57" s="79"/>
      <c r="AL57" s="79"/>
      <c r="AM57" s="79"/>
      <c r="AN57" s="79"/>
    </row>
    <row r="58" s="1" customFormat="1" outlineLevel="1" spans="1:40">
      <c r="A58" s="105" t="s">
        <v>61</v>
      </c>
      <c r="B58" s="106" t="s">
        <v>74</v>
      </c>
      <c r="C58" s="101"/>
      <c r="D58" s="16">
        <f t="shared" si="15"/>
        <v>287.86</v>
      </c>
      <c r="E58" s="16">
        <f t="shared" si="16"/>
        <v>292.1779</v>
      </c>
      <c r="F58" s="44">
        <f>D58+D59</f>
        <v>329.79</v>
      </c>
      <c r="G58" s="17"/>
      <c r="H58" s="17"/>
      <c r="I58" s="17"/>
      <c r="J58" s="44" t="s">
        <v>48</v>
      </c>
      <c r="K58" s="21" t="s">
        <v>49</v>
      </c>
      <c r="L58" s="9"/>
      <c r="M58" s="9"/>
      <c r="N58" s="8"/>
      <c r="O58" s="9"/>
      <c r="P58" s="9"/>
      <c r="Q58" s="21" t="s">
        <v>49</v>
      </c>
      <c r="R58" s="9">
        <v>287.86</v>
      </c>
      <c r="S58" s="9">
        <f>R58*1.015</f>
        <v>292.1779</v>
      </c>
      <c r="T58" s="8"/>
      <c r="U58" s="9"/>
      <c r="V58" s="9"/>
      <c r="W58" s="8"/>
      <c r="X58" s="9"/>
      <c r="Y58" s="9"/>
      <c r="Z58" s="8"/>
      <c r="AA58" s="8"/>
      <c r="AB58" s="8"/>
      <c r="AC58" s="7"/>
      <c r="AD58" s="77">
        <v>540</v>
      </c>
      <c r="AE58" s="77">
        <f>AD58*$F$58</f>
        <v>178086.6</v>
      </c>
      <c r="AF58" s="77">
        <v>650</v>
      </c>
      <c r="AG58" s="77">
        <f t="shared" ref="AE58:AI58" si="17">AF58*$F$58</f>
        <v>214363.5</v>
      </c>
      <c r="AH58" s="77">
        <v>560</v>
      </c>
      <c r="AI58" s="77">
        <f t="shared" si="17"/>
        <v>184682.4</v>
      </c>
      <c r="AJ58" s="8">
        <v>750</v>
      </c>
      <c r="AK58" s="77">
        <v>976.32</v>
      </c>
      <c r="AL58" s="77">
        <f>AK58*$F$58</f>
        <v>321980.5728</v>
      </c>
      <c r="AM58" s="77">
        <v>740</v>
      </c>
      <c r="AN58" s="77">
        <f>AM58*$F$58</f>
        <v>244044.6</v>
      </c>
    </row>
    <row r="59" s="1" customFormat="1" outlineLevel="1" spans="1:40">
      <c r="A59" s="107"/>
      <c r="B59" s="108"/>
      <c r="C59" s="101"/>
      <c r="D59" s="16">
        <f t="shared" si="15"/>
        <v>41.93</v>
      </c>
      <c r="E59" s="16">
        <f t="shared" si="16"/>
        <v>60.6685</v>
      </c>
      <c r="F59" s="45"/>
      <c r="G59" s="17"/>
      <c r="H59" s="17"/>
      <c r="I59" s="17"/>
      <c r="J59" s="45"/>
      <c r="K59" s="21" t="s">
        <v>75</v>
      </c>
      <c r="L59" s="9"/>
      <c r="M59" s="9"/>
      <c r="N59" s="8"/>
      <c r="O59" s="9"/>
      <c r="P59" s="9"/>
      <c r="Q59" s="21" t="s">
        <v>49</v>
      </c>
      <c r="R59" s="9">
        <v>41.93</v>
      </c>
      <c r="S59" s="9">
        <v>60.6685</v>
      </c>
      <c r="T59" s="8"/>
      <c r="U59" s="9"/>
      <c r="V59" s="9"/>
      <c r="W59" s="8"/>
      <c r="X59" s="9"/>
      <c r="Y59" s="9"/>
      <c r="Z59" s="8"/>
      <c r="AA59" s="8"/>
      <c r="AB59" s="8"/>
      <c r="AC59" s="7" t="s">
        <v>76</v>
      </c>
      <c r="AD59" s="79"/>
      <c r="AE59" s="79"/>
      <c r="AF59" s="79"/>
      <c r="AG59" s="79"/>
      <c r="AH59" s="79"/>
      <c r="AI59" s="79"/>
      <c r="AJ59" s="8">
        <v>750</v>
      </c>
      <c r="AK59" s="79"/>
      <c r="AL59" s="79"/>
      <c r="AM59" s="79"/>
      <c r="AN59" s="79"/>
    </row>
    <row r="60" s="1" customFormat="1" outlineLevel="1" spans="1:40">
      <c r="A60" s="99" t="s">
        <v>61</v>
      </c>
      <c r="B60" s="103" t="s">
        <v>77</v>
      </c>
      <c r="C60" s="101" t="s">
        <v>30</v>
      </c>
      <c r="D60" s="16">
        <f t="shared" ref="D60:D71" si="18">L60+O60+R60+U60+X60</f>
        <v>0.2</v>
      </c>
      <c r="E60" s="16">
        <f t="shared" ref="E60:E72" si="19">M60+P60+S60+V60+Y60</f>
        <v>0.203</v>
      </c>
      <c r="F60" s="17">
        <f>SUM(D60:D61)</f>
        <v>11.345</v>
      </c>
      <c r="G60" s="17">
        <f>SUM(E60:E61)</f>
        <v>11.90525</v>
      </c>
      <c r="H60" s="17">
        <v>680</v>
      </c>
      <c r="I60" s="17">
        <f t="shared" ref="I60:I64" si="20">H60*G60</f>
        <v>8095.57</v>
      </c>
      <c r="J60" s="17" t="s">
        <v>31</v>
      </c>
      <c r="K60" s="21" t="s">
        <v>32</v>
      </c>
      <c r="L60" s="9">
        <v>0.2</v>
      </c>
      <c r="M60" s="9">
        <f>L60*1.015</f>
        <v>0.203</v>
      </c>
      <c r="N60" s="8"/>
      <c r="O60" s="9"/>
      <c r="P60" s="9"/>
      <c r="Q60" s="8"/>
      <c r="R60" s="9"/>
      <c r="S60" s="9"/>
      <c r="T60" s="8"/>
      <c r="U60" s="9"/>
      <c r="V60" s="9"/>
      <c r="W60" s="8"/>
      <c r="X60" s="9"/>
      <c r="Y60" s="9"/>
      <c r="Z60" s="8"/>
      <c r="AA60" s="8"/>
      <c r="AB60" s="8">
        <v>780</v>
      </c>
      <c r="AC60" s="7" t="s">
        <v>78</v>
      </c>
      <c r="AD60" s="77">
        <v>540</v>
      </c>
      <c r="AE60" s="77">
        <f>AD60*$F$60</f>
        <v>6126.3</v>
      </c>
      <c r="AF60" s="77">
        <v>540</v>
      </c>
      <c r="AG60" s="77">
        <f t="shared" ref="AE60:AI60" si="21">AF60*$F$60</f>
        <v>6126.3</v>
      </c>
      <c r="AH60" s="77">
        <v>620</v>
      </c>
      <c r="AI60" s="77">
        <f t="shared" si="21"/>
        <v>7033.9</v>
      </c>
      <c r="AJ60" s="8">
        <v>750</v>
      </c>
      <c r="AK60" s="77">
        <v>1118.28</v>
      </c>
      <c r="AL60" s="77">
        <f>AK60*$F$60</f>
        <v>12686.8866</v>
      </c>
      <c r="AM60" s="77">
        <v>740</v>
      </c>
      <c r="AN60" s="77">
        <f>AM60*$F$60</f>
        <v>8395.3</v>
      </c>
    </row>
    <row r="61" s="1" customFormat="1" outlineLevel="1" spans="1:40">
      <c r="A61" s="99"/>
      <c r="B61" s="103"/>
      <c r="C61" s="101"/>
      <c r="D61" s="16">
        <f t="shared" si="18"/>
        <v>11.145</v>
      </c>
      <c r="E61" s="16">
        <f t="shared" si="19"/>
        <v>11.70225</v>
      </c>
      <c r="F61" s="17"/>
      <c r="G61" s="17"/>
      <c r="H61" s="17"/>
      <c r="I61" s="17"/>
      <c r="J61" s="17" t="s">
        <v>39</v>
      </c>
      <c r="K61" s="21" t="s">
        <v>45</v>
      </c>
      <c r="L61" s="9"/>
      <c r="M61" s="9"/>
      <c r="N61" s="21" t="s">
        <v>45</v>
      </c>
      <c r="O61" s="9">
        <v>11.145</v>
      </c>
      <c r="P61" s="9">
        <f>O61*1.05</f>
        <v>11.70225</v>
      </c>
      <c r="Q61" s="8"/>
      <c r="R61" s="9"/>
      <c r="S61" s="9"/>
      <c r="T61" s="8"/>
      <c r="U61" s="9"/>
      <c r="V61" s="9"/>
      <c r="W61" s="8"/>
      <c r="X61" s="9"/>
      <c r="Y61" s="9"/>
      <c r="Z61" s="8"/>
      <c r="AA61" s="8"/>
      <c r="AB61" s="8"/>
      <c r="AC61" s="7"/>
      <c r="AD61" s="79"/>
      <c r="AE61" s="79"/>
      <c r="AF61" s="79">
        <v>540</v>
      </c>
      <c r="AG61" s="79"/>
      <c r="AH61" s="79"/>
      <c r="AI61" s="79"/>
      <c r="AJ61" s="8">
        <v>750</v>
      </c>
      <c r="AK61" s="79"/>
      <c r="AL61" s="79"/>
      <c r="AM61" s="79"/>
      <c r="AN61" s="79"/>
    </row>
    <row r="62" s="1" customFormat="1" outlineLevel="1" spans="1:40">
      <c r="A62" s="99" t="s">
        <v>79</v>
      </c>
      <c r="B62" s="103" t="s">
        <v>80</v>
      </c>
      <c r="C62" s="101" t="s">
        <v>81</v>
      </c>
      <c r="D62" s="16">
        <f t="shared" si="18"/>
        <v>4</v>
      </c>
      <c r="E62" s="16">
        <f t="shared" si="19"/>
        <v>0</v>
      </c>
      <c r="F62" s="17">
        <f>D62+D63</f>
        <v>10</v>
      </c>
      <c r="G62" s="17">
        <f>D62+D63</f>
        <v>10</v>
      </c>
      <c r="H62" s="17">
        <v>525</v>
      </c>
      <c r="I62" s="17">
        <f t="shared" si="20"/>
        <v>5250</v>
      </c>
      <c r="J62" s="17" t="s">
        <v>31</v>
      </c>
      <c r="K62" s="21" t="s">
        <v>32</v>
      </c>
      <c r="L62" s="9">
        <v>4</v>
      </c>
      <c r="M62" s="9"/>
      <c r="N62" s="8"/>
      <c r="O62" s="9"/>
      <c r="P62" s="9"/>
      <c r="Q62" s="8"/>
      <c r="R62" s="9"/>
      <c r="S62" s="9"/>
      <c r="T62" s="8"/>
      <c r="U62" s="9"/>
      <c r="V62" s="9"/>
      <c r="W62" s="8"/>
      <c r="X62" s="9"/>
      <c r="Y62" s="9"/>
      <c r="Z62" s="8"/>
      <c r="AA62" s="8"/>
      <c r="AB62" s="8">
        <v>680</v>
      </c>
      <c r="AC62" s="7" t="s">
        <v>67</v>
      </c>
      <c r="AD62" s="77">
        <v>1000</v>
      </c>
      <c r="AE62" s="77">
        <f>AD62*$F$62</f>
        <v>10000</v>
      </c>
      <c r="AF62" s="77">
        <v>1000</v>
      </c>
      <c r="AG62" s="77">
        <f t="shared" ref="AE62:AI62" si="22">AF62*$F$62</f>
        <v>10000</v>
      </c>
      <c r="AH62" s="77">
        <v>1000</v>
      </c>
      <c r="AI62" s="77">
        <f t="shared" si="22"/>
        <v>10000</v>
      </c>
      <c r="AJ62" s="77"/>
      <c r="AK62" s="77">
        <v>1000</v>
      </c>
      <c r="AL62" s="77">
        <f>AK62*$F$62</f>
        <v>10000</v>
      </c>
      <c r="AM62" s="77">
        <v>1000</v>
      </c>
      <c r="AN62" s="77">
        <f>AM62*$F$62</f>
        <v>10000</v>
      </c>
    </row>
    <row r="63" s="1" customFormat="1" outlineLevel="1" spans="1:40">
      <c r="A63" s="99"/>
      <c r="B63" s="103"/>
      <c r="C63" s="101"/>
      <c r="D63" s="16">
        <f t="shared" si="18"/>
        <v>6</v>
      </c>
      <c r="E63" s="16">
        <f t="shared" si="19"/>
        <v>0</v>
      </c>
      <c r="F63" s="17"/>
      <c r="G63" s="17"/>
      <c r="H63" s="17"/>
      <c r="I63" s="17"/>
      <c r="J63" s="17"/>
      <c r="K63" s="21" t="s">
        <v>34</v>
      </c>
      <c r="L63" s="9">
        <v>6</v>
      </c>
      <c r="M63" s="9"/>
      <c r="N63" s="8"/>
      <c r="O63" s="9"/>
      <c r="P63" s="9"/>
      <c r="Q63" s="8"/>
      <c r="R63" s="9"/>
      <c r="S63" s="9"/>
      <c r="T63" s="8"/>
      <c r="U63" s="9"/>
      <c r="V63" s="9"/>
      <c r="W63" s="8"/>
      <c r="X63" s="9"/>
      <c r="Y63" s="9"/>
      <c r="Z63" s="8"/>
      <c r="AA63" s="8"/>
      <c r="AB63" s="8"/>
      <c r="AC63" s="8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</row>
    <row r="64" s="1" customFormat="1" outlineLevel="1" spans="1:40">
      <c r="A64" s="99" t="s">
        <v>82</v>
      </c>
      <c r="B64" s="103" t="s">
        <v>83</v>
      </c>
      <c r="C64" s="101" t="s">
        <v>30</v>
      </c>
      <c r="D64" s="16">
        <f t="shared" si="18"/>
        <v>101.98</v>
      </c>
      <c r="E64" s="16">
        <f t="shared" si="19"/>
        <v>104.0196</v>
      </c>
      <c r="F64" s="17">
        <f>SUM(D64:D66)</f>
        <v>322.35</v>
      </c>
      <c r="G64" s="17">
        <f>SUM(E64:E66)</f>
        <v>328.797</v>
      </c>
      <c r="H64" s="17">
        <v>525</v>
      </c>
      <c r="I64" s="17">
        <f t="shared" si="20"/>
        <v>172618.425</v>
      </c>
      <c r="J64" s="17" t="s">
        <v>31</v>
      </c>
      <c r="K64" s="21" t="s">
        <v>63</v>
      </c>
      <c r="L64" s="9">
        <v>101.98</v>
      </c>
      <c r="M64" s="9">
        <f>L64*1.02</f>
        <v>104.0196</v>
      </c>
      <c r="N64" s="8"/>
      <c r="O64" s="9"/>
      <c r="P64" s="9"/>
      <c r="Q64" s="8"/>
      <c r="R64" s="9"/>
      <c r="S64" s="9"/>
      <c r="T64" s="8"/>
      <c r="U64" s="9"/>
      <c r="V64" s="9"/>
      <c r="W64" s="8"/>
      <c r="X64" s="9"/>
      <c r="Y64" s="9"/>
      <c r="Z64" s="8"/>
      <c r="AA64" s="8"/>
      <c r="AB64" s="8">
        <v>525</v>
      </c>
      <c r="AC64" s="7" t="s">
        <v>67</v>
      </c>
      <c r="AD64" s="110">
        <v>650</v>
      </c>
      <c r="AE64" s="110">
        <f>AD64*$F$64</f>
        <v>209527.5</v>
      </c>
      <c r="AF64" s="110">
        <v>600</v>
      </c>
      <c r="AG64" s="110">
        <f t="shared" ref="AE64:AI64" si="23">AF64*$F$64</f>
        <v>193410</v>
      </c>
      <c r="AH64" s="110">
        <v>680</v>
      </c>
      <c r="AI64" s="110">
        <f t="shared" si="23"/>
        <v>219198</v>
      </c>
      <c r="AJ64" s="110">
        <v>700</v>
      </c>
      <c r="AK64" s="110">
        <v>1342.5</v>
      </c>
      <c r="AL64" s="110">
        <f>AK64*$F$64</f>
        <v>432754.875</v>
      </c>
      <c r="AM64" s="110">
        <v>600</v>
      </c>
      <c r="AN64" s="110">
        <f>AM64*$F$64</f>
        <v>193410</v>
      </c>
    </row>
    <row r="65" s="1" customFormat="1" outlineLevel="1" spans="1:40">
      <c r="A65" s="99"/>
      <c r="B65" s="103"/>
      <c r="C65" s="101"/>
      <c r="D65" s="16">
        <f t="shared" si="18"/>
        <v>215.96</v>
      </c>
      <c r="E65" s="16">
        <f t="shared" si="19"/>
        <v>220.2792</v>
      </c>
      <c r="F65" s="17"/>
      <c r="G65" s="17"/>
      <c r="H65" s="17"/>
      <c r="I65" s="17"/>
      <c r="J65" s="17"/>
      <c r="K65" s="21" t="s">
        <v>38</v>
      </c>
      <c r="L65" s="9">
        <v>215.96</v>
      </c>
      <c r="M65" s="9">
        <f>L65*1.02</f>
        <v>220.2792</v>
      </c>
      <c r="N65" s="8"/>
      <c r="O65" s="9"/>
      <c r="P65" s="9"/>
      <c r="Q65" s="8"/>
      <c r="R65" s="9"/>
      <c r="S65" s="9"/>
      <c r="T65" s="8"/>
      <c r="U65" s="9"/>
      <c r="V65" s="9"/>
      <c r="W65" s="8"/>
      <c r="X65" s="9"/>
      <c r="Y65" s="9"/>
      <c r="Z65" s="8"/>
      <c r="AA65" s="8"/>
      <c r="AB65" s="8"/>
      <c r="AC65" s="7"/>
      <c r="AD65" s="123"/>
      <c r="AE65" s="123"/>
      <c r="AF65" s="123">
        <v>1800</v>
      </c>
      <c r="AG65" s="123"/>
      <c r="AH65" s="123"/>
      <c r="AI65" s="123"/>
      <c r="AJ65" s="123">
        <v>700</v>
      </c>
      <c r="AK65" s="123"/>
      <c r="AL65" s="123"/>
      <c r="AM65" s="123"/>
      <c r="AN65" s="123"/>
    </row>
    <row r="66" s="1" customFormat="1" outlineLevel="1" spans="1:40">
      <c r="A66" s="99"/>
      <c r="B66" s="103"/>
      <c r="C66" s="101"/>
      <c r="D66" s="16">
        <f t="shared" si="18"/>
        <v>4.41</v>
      </c>
      <c r="E66" s="16">
        <f t="shared" si="19"/>
        <v>4.4982</v>
      </c>
      <c r="F66" s="17"/>
      <c r="G66" s="17"/>
      <c r="H66" s="17"/>
      <c r="I66" s="17"/>
      <c r="J66" s="17" t="s">
        <v>39</v>
      </c>
      <c r="K66" s="21" t="s">
        <v>45</v>
      </c>
      <c r="L66" s="9"/>
      <c r="M66" s="9"/>
      <c r="N66" s="21" t="s">
        <v>45</v>
      </c>
      <c r="O66" s="9">
        <v>4.41</v>
      </c>
      <c r="P66" s="9">
        <f>4.41*1.02</f>
        <v>4.4982</v>
      </c>
      <c r="Q66" s="8"/>
      <c r="R66" s="9"/>
      <c r="S66" s="9"/>
      <c r="T66" s="8"/>
      <c r="U66" s="9"/>
      <c r="V66" s="9"/>
      <c r="W66" s="8"/>
      <c r="X66" s="9"/>
      <c r="Y66" s="9"/>
      <c r="Z66" s="8"/>
      <c r="AA66" s="8"/>
      <c r="AB66" s="8"/>
      <c r="AC66" s="7"/>
      <c r="AD66" s="124"/>
      <c r="AE66" s="124"/>
      <c r="AF66" s="124">
        <v>1800</v>
      </c>
      <c r="AG66" s="124"/>
      <c r="AH66" s="124"/>
      <c r="AI66" s="124"/>
      <c r="AJ66" s="124">
        <v>700</v>
      </c>
      <c r="AK66" s="124"/>
      <c r="AL66" s="124"/>
      <c r="AM66" s="124"/>
      <c r="AN66" s="124"/>
    </row>
    <row r="67" s="1" customFormat="1" outlineLevel="1" spans="1:40">
      <c r="A67" s="99" t="s">
        <v>84</v>
      </c>
      <c r="B67" s="103" t="s">
        <v>85</v>
      </c>
      <c r="C67" s="101" t="s">
        <v>30</v>
      </c>
      <c r="D67" s="16">
        <f t="shared" si="18"/>
        <v>5.88</v>
      </c>
      <c r="E67" s="16">
        <f t="shared" si="19"/>
        <v>6.0858</v>
      </c>
      <c r="F67" s="17">
        <f>SUM(D67:D74)</f>
        <v>1834.69</v>
      </c>
      <c r="G67" s="17">
        <f>SUM(E67:E74)</f>
        <v>1874.51</v>
      </c>
      <c r="H67" s="17">
        <v>525</v>
      </c>
      <c r="I67" s="17">
        <f>H67*G67</f>
        <v>984117.75</v>
      </c>
      <c r="J67" s="17" t="s">
        <v>31</v>
      </c>
      <c r="K67" s="21" t="s">
        <v>38</v>
      </c>
      <c r="L67" s="9">
        <v>5.88</v>
      </c>
      <c r="M67" s="9">
        <f>L67*1.035</f>
        <v>6.0858</v>
      </c>
      <c r="N67" s="8"/>
      <c r="O67" s="9"/>
      <c r="P67" s="9"/>
      <c r="Q67" s="8"/>
      <c r="R67" s="9"/>
      <c r="S67" s="9"/>
      <c r="T67" s="8"/>
      <c r="U67" s="9"/>
      <c r="V67" s="9"/>
      <c r="W67" s="8"/>
      <c r="X67" s="9"/>
      <c r="Y67" s="9"/>
      <c r="Z67" s="8"/>
      <c r="AA67" s="8"/>
      <c r="AB67" s="8">
        <v>525</v>
      </c>
      <c r="AC67" s="7" t="s">
        <v>86</v>
      </c>
      <c r="AD67" s="77">
        <v>650</v>
      </c>
      <c r="AE67" s="77">
        <f>AD67*$F$67</f>
        <v>1192548.5</v>
      </c>
      <c r="AF67" s="77">
        <v>750</v>
      </c>
      <c r="AG67" s="77">
        <f t="shared" ref="AE67:AI67" si="24">AF67*$F$67</f>
        <v>1376017.5</v>
      </c>
      <c r="AH67" s="77">
        <v>680</v>
      </c>
      <c r="AI67" s="77">
        <f t="shared" si="24"/>
        <v>1247589.2</v>
      </c>
      <c r="AJ67" s="8">
        <v>780</v>
      </c>
      <c r="AK67" s="77">
        <v>780</v>
      </c>
      <c r="AL67" s="77">
        <f>AK67*$F$67</f>
        <v>1431058.2</v>
      </c>
      <c r="AM67" s="77">
        <v>550</v>
      </c>
      <c r="AN67" s="77">
        <f>AM67*$F$67</f>
        <v>1009079.5</v>
      </c>
    </row>
    <row r="68" s="1" customFormat="1" outlineLevel="1" spans="1:40">
      <c r="A68" s="99"/>
      <c r="B68" s="103"/>
      <c r="C68" s="101"/>
      <c r="D68" s="16">
        <f t="shared" si="18"/>
        <v>458.17</v>
      </c>
      <c r="E68" s="16">
        <f t="shared" si="19"/>
        <v>473.3954</v>
      </c>
      <c r="F68" s="17"/>
      <c r="G68" s="17"/>
      <c r="H68" s="17"/>
      <c r="I68" s="17"/>
      <c r="J68" s="17" t="s">
        <v>39</v>
      </c>
      <c r="K68" s="21" t="s">
        <v>40</v>
      </c>
      <c r="L68" s="9"/>
      <c r="M68" s="9"/>
      <c r="N68" s="21" t="s">
        <v>40</v>
      </c>
      <c r="O68" s="9">
        <f>306.62+151.55</f>
        <v>458.17</v>
      </c>
      <c r="P68" s="9">
        <f>306.62*1.02+151.55*1.06</f>
        <v>473.3954</v>
      </c>
      <c r="Q68" s="8"/>
      <c r="R68" s="9"/>
      <c r="S68" s="9"/>
      <c r="T68" s="8"/>
      <c r="U68" s="9"/>
      <c r="V68" s="9"/>
      <c r="W68" s="8"/>
      <c r="X68" s="9"/>
      <c r="Y68" s="9"/>
      <c r="Z68" s="8"/>
      <c r="AA68" s="8"/>
      <c r="AB68" s="8"/>
      <c r="AC68" s="7"/>
      <c r="AD68" s="78"/>
      <c r="AE68" s="78"/>
      <c r="AF68" s="78">
        <v>750</v>
      </c>
      <c r="AG68" s="78"/>
      <c r="AH68" s="78"/>
      <c r="AI68" s="78"/>
      <c r="AJ68" s="8">
        <v>780</v>
      </c>
      <c r="AK68" s="78"/>
      <c r="AL68" s="78"/>
      <c r="AM68" s="78"/>
      <c r="AN68" s="78"/>
    </row>
    <row r="69" s="1" customFormat="1" outlineLevel="1" spans="1:40">
      <c r="A69" s="99"/>
      <c r="B69" s="103"/>
      <c r="C69" s="101"/>
      <c r="D69" s="16">
        <f t="shared" si="18"/>
        <v>436.39</v>
      </c>
      <c r="E69" s="16">
        <f t="shared" si="19"/>
        <v>450.5376</v>
      </c>
      <c r="F69" s="17"/>
      <c r="G69" s="17"/>
      <c r="H69" s="17"/>
      <c r="I69" s="17"/>
      <c r="J69" s="17"/>
      <c r="K69" s="8" t="s">
        <v>41</v>
      </c>
      <c r="L69" s="9"/>
      <c r="M69" s="9"/>
      <c r="N69" s="8" t="s">
        <v>41</v>
      </c>
      <c r="O69" s="9">
        <f>308.26+113.4+14.73</f>
        <v>436.39</v>
      </c>
      <c r="P69" s="9">
        <f>308.26*1.02+113.4*1.06+14.73*1.08</f>
        <v>450.5376</v>
      </c>
      <c r="Q69" s="8"/>
      <c r="R69" s="9"/>
      <c r="S69" s="9"/>
      <c r="T69" s="8"/>
      <c r="U69" s="9"/>
      <c r="V69" s="9"/>
      <c r="W69" s="8"/>
      <c r="X69" s="9"/>
      <c r="Y69" s="9"/>
      <c r="Z69" s="8"/>
      <c r="AA69" s="8"/>
      <c r="AB69" s="8"/>
      <c r="AC69" s="7"/>
      <c r="AD69" s="78"/>
      <c r="AE69" s="78"/>
      <c r="AF69" s="78">
        <v>750</v>
      </c>
      <c r="AG69" s="78"/>
      <c r="AH69" s="78"/>
      <c r="AI69" s="78"/>
      <c r="AJ69" s="8">
        <v>780</v>
      </c>
      <c r="AK69" s="78"/>
      <c r="AL69" s="78"/>
      <c r="AM69" s="78"/>
      <c r="AN69" s="78"/>
    </row>
    <row r="70" s="1" customFormat="1" outlineLevel="1" spans="1:40">
      <c r="A70" s="99"/>
      <c r="B70" s="103"/>
      <c r="C70" s="101"/>
      <c r="D70" s="16">
        <f t="shared" si="18"/>
        <v>200.02</v>
      </c>
      <c r="E70" s="16">
        <f t="shared" si="19"/>
        <v>205.3588</v>
      </c>
      <c r="F70" s="17"/>
      <c r="G70" s="17"/>
      <c r="H70" s="17"/>
      <c r="I70" s="17"/>
      <c r="J70" s="17"/>
      <c r="K70" s="21" t="s">
        <v>43</v>
      </c>
      <c r="L70" s="9"/>
      <c r="M70" s="9"/>
      <c r="N70" s="21" t="s">
        <v>43</v>
      </c>
      <c r="O70" s="9">
        <f>165.09+33.46+1.47</f>
        <v>200.02</v>
      </c>
      <c r="P70" s="9">
        <f>165.09*1.02+33.46*1.06+1.47*1.02</f>
        <v>205.3588</v>
      </c>
      <c r="Q70" s="8"/>
      <c r="R70" s="9"/>
      <c r="S70" s="9"/>
      <c r="T70" s="8"/>
      <c r="U70" s="9"/>
      <c r="V70" s="9"/>
      <c r="W70" s="8"/>
      <c r="X70" s="9"/>
      <c r="Y70" s="9"/>
      <c r="Z70" s="8"/>
      <c r="AA70" s="8"/>
      <c r="AB70" s="8"/>
      <c r="AC70" s="7"/>
      <c r="AD70" s="78"/>
      <c r="AE70" s="78"/>
      <c r="AF70" s="78">
        <v>750</v>
      </c>
      <c r="AG70" s="78"/>
      <c r="AH70" s="78"/>
      <c r="AI70" s="78"/>
      <c r="AJ70" s="8">
        <v>780</v>
      </c>
      <c r="AK70" s="78"/>
      <c r="AL70" s="78"/>
      <c r="AM70" s="78"/>
      <c r="AN70" s="78"/>
    </row>
    <row r="71" s="1" customFormat="1" outlineLevel="1" spans="1:40">
      <c r="A71" s="99"/>
      <c r="B71" s="103"/>
      <c r="C71" s="101"/>
      <c r="D71" s="16">
        <f t="shared" si="18"/>
        <v>329.54</v>
      </c>
      <c r="E71" s="16">
        <f t="shared" si="19"/>
        <v>337.1096</v>
      </c>
      <c r="F71" s="17"/>
      <c r="G71" s="17"/>
      <c r="H71" s="17"/>
      <c r="I71" s="17"/>
      <c r="J71" s="17"/>
      <c r="K71" s="21" t="s">
        <v>45</v>
      </c>
      <c r="L71" s="9"/>
      <c r="M71" s="9"/>
      <c r="N71" s="21" t="s">
        <v>45</v>
      </c>
      <c r="O71" s="9">
        <f>305.07+24.47</f>
        <v>329.54</v>
      </c>
      <c r="P71" s="9">
        <f>305.07*1.02+24.47*1.06</f>
        <v>337.1096</v>
      </c>
      <c r="Q71" s="8"/>
      <c r="R71" s="9"/>
      <c r="S71" s="9"/>
      <c r="T71" s="8"/>
      <c r="U71" s="9"/>
      <c r="V71" s="9"/>
      <c r="W71" s="8"/>
      <c r="X71" s="9"/>
      <c r="Y71" s="9"/>
      <c r="Z71" s="8"/>
      <c r="AA71" s="8"/>
      <c r="AB71" s="8"/>
      <c r="AC71" s="7"/>
      <c r="AD71" s="78"/>
      <c r="AE71" s="78"/>
      <c r="AF71" s="78">
        <v>750</v>
      </c>
      <c r="AG71" s="78"/>
      <c r="AH71" s="78"/>
      <c r="AI71" s="78"/>
      <c r="AJ71" s="8">
        <v>780</v>
      </c>
      <c r="AK71" s="78"/>
      <c r="AL71" s="78"/>
      <c r="AM71" s="78"/>
      <c r="AN71" s="78"/>
    </row>
    <row r="72" s="1" customFormat="1" outlineLevel="1" spans="1:40">
      <c r="A72" s="99"/>
      <c r="B72" s="103"/>
      <c r="C72" s="101"/>
      <c r="D72" s="16">
        <f>L72+O72+R72+U72+X72+6.27+4.28</f>
        <v>255.25</v>
      </c>
      <c r="E72" s="16">
        <f t="shared" si="19"/>
        <v>249.594</v>
      </c>
      <c r="F72" s="17"/>
      <c r="G72" s="17"/>
      <c r="H72" s="17"/>
      <c r="I72" s="17"/>
      <c r="J72" s="17" t="s">
        <v>48</v>
      </c>
      <c r="K72" s="21" t="s">
        <v>49</v>
      </c>
      <c r="L72" s="9"/>
      <c r="M72" s="9"/>
      <c r="N72" s="21"/>
      <c r="O72" s="9"/>
      <c r="P72" s="9"/>
      <c r="Q72" s="21" t="s">
        <v>49</v>
      </c>
      <c r="R72" s="9">
        <v>244.7</v>
      </c>
      <c r="S72" s="9">
        <f>R72*1.02</f>
        <v>249.594</v>
      </c>
      <c r="T72" s="8"/>
      <c r="U72" s="9"/>
      <c r="V72" s="9"/>
      <c r="W72" s="8"/>
      <c r="X72" s="9"/>
      <c r="Y72" s="9"/>
      <c r="Z72" s="8"/>
      <c r="AA72" s="8"/>
      <c r="AB72" s="8"/>
      <c r="AC72" s="7"/>
      <c r="AD72" s="78"/>
      <c r="AE72" s="78"/>
      <c r="AF72" s="78">
        <v>750</v>
      </c>
      <c r="AG72" s="78"/>
      <c r="AH72" s="78"/>
      <c r="AI72" s="78"/>
      <c r="AJ72" s="8">
        <v>780</v>
      </c>
      <c r="AK72" s="78"/>
      <c r="AL72" s="78"/>
      <c r="AM72" s="78"/>
      <c r="AN72" s="78"/>
    </row>
    <row r="73" s="1" customFormat="1" outlineLevel="1" spans="1:40">
      <c r="A73" s="99"/>
      <c r="B73" s="103"/>
      <c r="C73" s="101"/>
      <c r="D73" s="16">
        <f t="shared" ref="D73:D101" si="25">L73+O73+R73+U73+X73</f>
        <v>105.28</v>
      </c>
      <c r="E73" s="16">
        <f t="shared" ref="E73:E101" si="26">M73+P73+S73+V73+Y73</f>
        <v>107.3856</v>
      </c>
      <c r="F73" s="17"/>
      <c r="G73" s="17"/>
      <c r="H73" s="17"/>
      <c r="I73" s="17"/>
      <c r="J73" s="17"/>
      <c r="K73" s="21" t="s">
        <v>54</v>
      </c>
      <c r="L73" s="9"/>
      <c r="M73" s="9"/>
      <c r="N73" s="21"/>
      <c r="O73" s="9"/>
      <c r="P73" s="9"/>
      <c r="Q73" s="21" t="s">
        <v>54</v>
      </c>
      <c r="R73" s="9">
        <v>105.28</v>
      </c>
      <c r="S73" s="9">
        <f>R73*1.02</f>
        <v>107.3856</v>
      </c>
      <c r="T73" s="8"/>
      <c r="U73" s="9"/>
      <c r="V73" s="9"/>
      <c r="W73" s="8"/>
      <c r="X73" s="9"/>
      <c r="Y73" s="9"/>
      <c r="Z73" s="8"/>
      <c r="AA73" s="8"/>
      <c r="AB73" s="8"/>
      <c r="AC73" s="7"/>
      <c r="AD73" s="78"/>
      <c r="AE73" s="78"/>
      <c r="AF73" s="78">
        <v>750</v>
      </c>
      <c r="AG73" s="78"/>
      <c r="AH73" s="78"/>
      <c r="AI73" s="78"/>
      <c r="AJ73" s="8">
        <v>780</v>
      </c>
      <c r="AK73" s="78"/>
      <c r="AL73" s="78"/>
      <c r="AM73" s="78"/>
      <c r="AN73" s="78"/>
    </row>
    <row r="74" s="1" customFormat="1" outlineLevel="1" spans="1:40">
      <c r="A74" s="99"/>
      <c r="B74" s="103"/>
      <c r="C74" s="101"/>
      <c r="D74" s="16">
        <f t="shared" si="25"/>
        <v>44.16</v>
      </c>
      <c r="E74" s="16">
        <f t="shared" si="26"/>
        <v>45.0432</v>
      </c>
      <c r="F74" s="17"/>
      <c r="G74" s="17"/>
      <c r="H74" s="17"/>
      <c r="I74" s="17"/>
      <c r="J74" s="17" t="s">
        <v>52</v>
      </c>
      <c r="K74" s="21" t="s">
        <v>49</v>
      </c>
      <c r="L74" s="9"/>
      <c r="M74" s="9"/>
      <c r="N74" s="21"/>
      <c r="O74" s="9"/>
      <c r="P74" s="9"/>
      <c r="Q74" s="21"/>
      <c r="R74" s="9"/>
      <c r="S74" s="9"/>
      <c r="T74" s="8" t="s">
        <v>53</v>
      </c>
      <c r="U74" s="9">
        <v>44.16</v>
      </c>
      <c r="V74" s="9">
        <f>U74*1.02</f>
        <v>45.0432</v>
      </c>
      <c r="W74" s="8"/>
      <c r="X74" s="9"/>
      <c r="Y74" s="9"/>
      <c r="Z74" s="8"/>
      <c r="AA74" s="8"/>
      <c r="AB74" s="8"/>
      <c r="AC74" s="7"/>
      <c r="AD74" s="79"/>
      <c r="AE74" s="79"/>
      <c r="AF74" s="79">
        <v>750</v>
      </c>
      <c r="AG74" s="79"/>
      <c r="AH74" s="79"/>
      <c r="AI74" s="79"/>
      <c r="AJ74" s="8">
        <v>780</v>
      </c>
      <c r="AK74" s="79"/>
      <c r="AL74" s="79"/>
      <c r="AM74" s="79"/>
      <c r="AN74" s="79"/>
    </row>
    <row r="75" s="1" customFormat="1" outlineLevel="1" spans="1:40">
      <c r="A75" s="99" t="s">
        <v>87</v>
      </c>
      <c r="B75" s="103" t="s">
        <v>88</v>
      </c>
      <c r="C75" s="101" t="s">
        <v>30</v>
      </c>
      <c r="D75" s="16">
        <f t="shared" si="25"/>
        <v>16.88</v>
      </c>
      <c r="E75" s="16">
        <f t="shared" si="26"/>
        <v>17.5552</v>
      </c>
      <c r="F75" s="17">
        <f>SUM(D75:D77)</f>
        <v>44.18</v>
      </c>
      <c r="G75" s="17">
        <f>SUM(E75:E77)</f>
        <v>49.2428</v>
      </c>
      <c r="H75" s="17">
        <v>766</v>
      </c>
      <c r="I75" s="17">
        <f t="shared" ref="I75:I80" si="27">H75*G75</f>
        <v>37719.9848</v>
      </c>
      <c r="J75" s="17" t="s">
        <v>48</v>
      </c>
      <c r="K75" s="21" t="s">
        <v>89</v>
      </c>
      <c r="L75" s="9"/>
      <c r="M75" s="9"/>
      <c r="N75" s="21"/>
      <c r="O75" s="9"/>
      <c r="P75" s="9"/>
      <c r="Q75" s="21" t="s">
        <v>49</v>
      </c>
      <c r="R75" s="9">
        <v>16.88</v>
      </c>
      <c r="S75" s="9">
        <f>R75*1.04</f>
        <v>17.5552</v>
      </c>
      <c r="T75" s="8"/>
      <c r="U75" s="9"/>
      <c r="V75" s="9"/>
      <c r="W75" s="8"/>
      <c r="X75" s="9"/>
      <c r="Y75" s="9"/>
      <c r="Z75" s="8"/>
      <c r="AA75" s="8"/>
      <c r="AB75" s="8">
        <v>766</v>
      </c>
      <c r="AC75" s="7" t="s">
        <v>90</v>
      </c>
      <c r="AD75" s="77">
        <v>300</v>
      </c>
      <c r="AE75" s="77">
        <f>AD75*$F$75</f>
        <v>13254</v>
      </c>
      <c r="AF75" s="77">
        <v>540</v>
      </c>
      <c r="AG75" s="77">
        <f t="shared" ref="AE75:AI75" si="28">AF75*$F$75</f>
        <v>23857.2</v>
      </c>
      <c r="AH75" s="77">
        <v>380</v>
      </c>
      <c r="AI75" s="77">
        <f t="shared" si="28"/>
        <v>16788.4</v>
      </c>
      <c r="AJ75" s="8">
        <v>435</v>
      </c>
      <c r="AK75" s="77">
        <v>555</v>
      </c>
      <c r="AL75" s="77">
        <f>AK75*$F$75</f>
        <v>24519.9</v>
      </c>
      <c r="AM75" s="77">
        <v>650</v>
      </c>
      <c r="AN75" s="77">
        <f>AM75*$F$75</f>
        <v>28717</v>
      </c>
    </row>
    <row r="76" s="1" customFormat="1" outlineLevel="1" spans="1:40">
      <c r="A76" s="99"/>
      <c r="B76" s="111"/>
      <c r="C76" s="101"/>
      <c r="D76" s="16">
        <f t="shared" si="25"/>
        <v>7</v>
      </c>
      <c r="E76" s="16">
        <f t="shared" si="26"/>
        <v>10.9816</v>
      </c>
      <c r="F76" s="17"/>
      <c r="G76" s="17"/>
      <c r="H76" s="17"/>
      <c r="I76" s="17"/>
      <c r="J76" s="17"/>
      <c r="K76" s="21" t="s">
        <v>91</v>
      </c>
      <c r="L76" s="9"/>
      <c r="M76" s="9"/>
      <c r="N76" s="21"/>
      <c r="O76" s="9"/>
      <c r="P76" s="9"/>
      <c r="Q76" s="21" t="s">
        <v>49</v>
      </c>
      <c r="R76" s="9">
        <v>7</v>
      </c>
      <c r="S76" s="9">
        <f>R76*1.5688</f>
        <v>10.9816</v>
      </c>
      <c r="T76" s="8"/>
      <c r="U76" s="9"/>
      <c r="V76" s="9"/>
      <c r="W76" s="8"/>
      <c r="X76" s="9"/>
      <c r="Y76" s="9"/>
      <c r="Z76" s="8"/>
      <c r="AA76" s="8"/>
      <c r="AB76" s="8">
        <v>766</v>
      </c>
      <c r="AC76" s="7" t="s">
        <v>69</v>
      </c>
      <c r="AD76" s="78"/>
      <c r="AE76" s="78"/>
      <c r="AF76" s="78"/>
      <c r="AG76" s="78"/>
      <c r="AH76" s="78"/>
      <c r="AI76" s="78"/>
      <c r="AJ76" s="8">
        <v>435</v>
      </c>
      <c r="AK76" s="78"/>
      <c r="AL76" s="78"/>
      <c r="AM76" s="78"/>
      <c r="AN76" s="78"/>
    </row>
    <row r="77" s="1" customFormat="1" outlineLevel="1" spans="1:40">
      <c r="A77" s="99"/>
      <c r="B77" s="111"/>
      <c r="C77" s="101"/>
      <c r="D77" s="16">
        <f t="shared" si="25"/>
        <v>20.3</v>
      </c>
      <c r="E77" s="16">
        <f t="shared" si="26"/>
        <v>20.706</v>
      </c>
      <c r="F77" s="17"/>
      <c r="G77" s="17"/>
      <c r="H77" s="17"/>
      <c r="I77" s="17"/>
      <c r="J77" s="17"/>
      <c r="K77" s="21" t="s">
        <v>92</v>
      </c>
      <c r="L77" s="9"/>
      <c r="M77" s="9"/>
      <c r="N77" s="21"/>
      <c r="O77" s="9"/>
      <c r="P77" s="9"/>
      <c r="Q77" s="21" t="s">
        <v>53</v>
      </c>
      <c r="R77" s="9">
        <v>20.3</v>
      </c>
      <c r="S77" s="9">
        <f>R77*1.02</f>
        <v>20.706</v>
      </c>
      <c r="T77" s="8"/>
      <c r="U77" s="9"/>
      <c r="V77" s="9"/>
      <c r="W77" s="8"/>
      <c r="X77" s="9"/>
      <c r="Y77" s="9"/>
      <c r="Z77" s="8"/>
      <c r="AA77" s="8"/>
      <c r="AB77" s="8"/>
      <c r="AC77" s="7" t="s">
        <v>67</v>
      </c>
      <c r="AD77" s="79"/>
      <c r="AE77" s="79"/>
      <c r="AF77" s="79"/>
      <c r="AG77" s="79"/>
      <c r="AH77" s="79"/>
      <c r="AI77" s="79"/>
      <c r="AJ77" s="8">
        <v>435</v>
      </c>
      <c r="AK77" s="79"/>
      <c r="AL77" s="79"/>
      <c r="AM77" s="79"/>
      <c r="AN77" s="79"/>
    </row>
    <row r="78" s="1" customFormat="1" outlineLevel="1" spans="1:40">
      <c r="A78" s="99" t="s">
        <v>93</v>
      </c>
      <c r="B78" s="103" t="s">
        <v>94</v>
      </c>
      <c r="C78" s="101" t="s">
        <v>30</v>
      </c>
      <c r="D78" s="16">
        <f t="shared" si="25"/>
        <v>3.4</v>
      </c>
      <c r="E78" s="16">
        <f t="shared" si="26"/>
        <v>3.536</v>
      </c>
      <c r="F78" s="17">
        <f>SUM(D78:D79)</f>
        <v>16.24</v>
      </c>
      <c r="G78" s="17">
        <f>SUM(E78:E79)</f>
        <v>16.376</v>
      </c>
      <c r="H78" s="17">
        <v>240.3</v>
      </c>
      <c r="I78" s="17">
        <f t="shared" si="27"/>
        <v>3935.1528</v>
      </c>
      <c r="J78" s="17" t="s">
        <v>55</v>
      </c>
      <c r="K78" s="7" t="s">
        <v>95</v>
      </c>
      <c r="L78" s="9"/>
      <c r="M78" s="9"/>
      <c r="N78" s="21"/>
      <c r="O78" s="9"/>
      <c r="P78" s="9"/>
      <c r="Q78" s="21"/>
      <c r="R78" s="9"/>
      <c r="S78" s="9"/>
      <c r="T78" s="8"/>
      <c r="U78" s="9"/>
      <c r="V78" s="9"/>
      <c r="W78" s="7" t="s">
        <v>56</v>
      </c>
      <c r="X78" s="9">
        <v>3.4</v>
      </c>
      <c r="Y78" s="9">
        <f>X78*1.04</f>
        <v>3.536</v>
      </c>
      <c r="Z78" s="8"/>
      <c r="AA78" s="8"/>
      <c r="AB78" s="8">
        <v>240.3</v>
      </c>
      <c r="AC78" s="7" t="s">
        <v>90</v>
      </c>
      <c r="AD78" s="77">
        <v>200</v>
      </c>
      <c r="AE78" s="77">
        <f>AD78*$F$78</f>
        <v>3248</v>
      </c>
      <c r="AF78" s="77">
        <v>500</v>
      </c>
      <c r="AG78" s="77">
        <f t="shared" ref="AE78:AI78" si="29">AF78*$F$78</f>
        <v>8120</v>
      </c>
      <c r="AH78" s="77">
        <v>510</v>
      </c>
      <c r="AI78" s="77">
        <f t="shared" si="29"/>
        <v>8282.4</v>
      </c>
      <c r="AJ78" s="8">
        <v>370</v>
      </c>
      <c r="AK78" s="77">
        <v>780</v>
      </c>
      <c r="AL78" s="77">
        <f>AK78*$F$78</f>
        <v>12667.2</v>
      </c>
      <c r="AM78" s="77">
        <v>650</v>
      </c>
      <c r="AN78" s="77">
        <f>AM78*$F$78</f>
        <v>10556</v>
      </c>
    </row>
    <row r="79" s="1" customFormat="1" outlineLevel="1" spans="1:40">
      <c r="A79" s="99"/>
      <c r="B79" s="103"/>
      <c r="C79" s="101"/>
      <c r="D79" s="16">
        <f t="shared" si="25"/>
        <v>12.84</v>
      </c>
      <c r="E79" s="16">
        <f t="shared" si="26"/>
        <v>12.84</v>
      </c>
      <c r="F79" s="17"/>
      <c r="G79" s="17"/>
      <c r="H79" s="17"/>
      <c r="I79" s="17"/>
      <c r="J79" s="17"/>
      <c r="K79" s="7" t="s">
        <v>96</v>
      </c>
      <c r="L79" s="9"/>
      <c r="M79" s="9"/>
      <c r="N79" s="21"/>
      <c r="O79" s="9"/>
      <c r="P79" s="9"/>
      <c r="Q79" s="21"/>
      <c r="R79" s="9"/>
      <c r="S79" s="9"/>
      <c r="T79" s="8"/>
      <c r="U79" s="9"/>
      <c r="V79" s="9"/>
      <c r="W79" s="7" t="s">
        <v>96</v>
      </c>
      <c r="X79" s="9">
        <f>8.44+4.4</f>
        <v>12.84</v>
      </c>
      <c r="Y79" s="9">
        <f>8.44+4.4</f>
        <v>12.84</v>
      </c>
      <c r="Z79" s="8"/>
      <c r="AA79" s="8"/>
      <c r="AB79" s="8"/>
      <c r="AC79" s="7"/>
      <c r="AD79" s="79"/>
      <c r="AE79" s="79"/>
      <c r="AF79" s="79">
        <v>540</v>
      </c>
      <c r="AG79" s="79"/>
      <c r="AH79" s="79"/>
      <c r="AI79" s="79"/>
      <c r="AJ79" s="8">
        <v>370</v>
      </c>
      <c r="AK79" s="79"/>
      <c r="AL79" s="79"/>
      <c r="AM79" s="79"/>
      <c r="AN79" s="79"/>
    </row>
    <row r="80" s="1" customFormat="1" outlineLevel="1" spans="1:40">
      <c r="A80" s="99" t="s">
        <v>97</v>
      </c>
      <c r="B80" s="103" t="s">
        <v>85</v>
      </c>
      <c r="C80" s="101" t="s">
        <v>30</v>
      </c>
      <c r="D80" s="16">
        <f t="shared" si="25"/>
        <v>9.085</v>
      </c>
      <c r="E80" s="16">
        <f t="shared" si="26"/>
        <v>9.2667</v>
      </c>
      <c r="F80" s="17">
        <f>SUM(D80:D82)</f>
        <v>24.7908823529412</v>
      </c>
      <c r="G80" s="17">
        <f>SUM(E80:E82)</f>
        <v>25.2867</v>
      </c>
      <c r="H80" s="17">
        <v>525</v>
      </c>
      <c r="I80" s="17">
        <f t="shared" si="27"/>
        <v>13275.5175</v>
      </c>
      <c r="J80" s="17" t="s">
        <v>39</v>
      </c>
      <c r="K80" s="21" t="s">
        <v>98</v>
      </c>
      <c r="L80" s="9"/>
      <c r="M80" s="9"/>
      <c r="N80" s="21" t="s">
        <v>98</v>
      </c>
      <c r="O80" s="9">
        <f t="shared" ref="O80:O82" si="30">P80/1.02</f>
        <v>9.085</v>
      </c>
      <c r="P80" s="9">
        <v>9.2667</v>
      </c>
      <c r="Q80" s="8"/>
      <c r="R80" s="9"/>
      <c r="S80" s="9"/>
      <c r="T80" s="8"/>
      <c r="U80" s="9"/>
      <c r="V80" s="9"/>
      <c r="W80" s="8"/>
      <c r="X80" s="9"/>
      <c r="Y80" s="9"/>
      <c r="Z80" s="8"/>
      <c r="AA80" s="8"/>
      <c r="AB80" s="8">
        <v>525</v>
      </c>
      <c r="AC80" s="7" t="s">
        <v>86</v>
      </c>
      <c r="AD80" s="77">
        <v>615</v>
      </c>
      <c r="AE80" s="77">
        <f>AD80*$F$80</f>
        <v>15246.3926470588</v>
      </c>
      <c r="AF80" s="77">
        <v>750</v>
      </c>
      <c r="AG80" s="77">
        <f t="shared" ref="AE80:AI80" si="31">AF80*$F$80</f>
        <v>18593.1617647059</v>
      </c>
      <c r="AH80" s="77">
        <v>780</v>
      </c>
      <c r="AI80" s="77">
        <f t="shared" si="31"/>
        <v>19336.8882352941</v>
      </c>
      <c r="AJ80" s="8">
        <v>780</v>
      </c>
      <c r="AK80" s="77">
        <v>1342.5</v>
      </c>
      <c r="AL80" s="77">
        <f>AK80*$F$80</f>
        <v>33281.7595588236</v>
      </c>
      <c r="AM80" s="77">
        <v>550</v>
      </c>
      <c r="AN80" s="77">
        <f>AM80*$F$80</f>
        <v>13634.9852941177</v>
      </c>
    </row>
    <row r="81" s="1" customFormat="1" outlineLevel="1" spans="1:40">
      <c r="A81" s="99"/>
      <c r="B81" s="103"/>
      <c r="C81" s="101"/>
      <c r="D81" s="16">
        <f t="shared" si="25"/>
        <v>9.80392156862745</v>
      </c>
      <c r="E81" s="16">
        <f t="shared" si="26"/>
        <v>10</v>
      </c>
      <c r="F81" s="17"/>
      <c r="G81" s="17"/>
      <c r="H81" s="17"/>
      <c r="I81" s="17"/>
      <c r="J81" s="17"/>
      <c r="K81" s="21" t="s">
        <v>99</v>
      </c>
      <c r="L81" s="9"/>
      <c r="M81" s="9"/>
      <c r="N81" s="21" t="s">
        <v>99</v>
      </c>
      <c r="O81" s="9">
        <f t="shared" si="30"/>
        <v>9.80392156862745</v>
      </c>
      <c r="P81" s="9">
        <v>10</v>
      </c>
      <c r="Q81" s="8"/>
      <c r="R81" s="9"/>
      <c r="S81" s="9"/>
      <c r="T81" s="8"/>
      <c r="U81" s="9"/>
      <c r="V81" s="9"/>
      <c r="W81" s="8"/>
      <c r="X81" s="9"/>
      <c r="Y81" s="9"/>
      <c r="Z81" s="8"/>
      <c r="AA81" s="8"/>
      <c r="AB81" s="8"/>
      <c r="AC81" s="7"/>
      <c r="AD81" s="78"/>
      <c r="AE81" s="78"/>
      <c r="AF81" s="78">
        <v>1800</v>
      </c>
      <c r="AG81" s="78"/>
      <c r="AH81" s="78"/>
      <c r="AI81" s="78"/>
      <c r="AJ81" s="8">
        <v>780</v>
      </c>
      <c r="AK81" s="78"/>
      <c r="AL81" s="78"/>
      <c r="AM81" s="78"/>
      <c r="AN81" s="78"/>
    </row>
    <row r="82" s="1" customFormat="1" outlineLevel="1" spans="1:40">
      <c r="A82" s="99"/>
      <c r="B82" s="103"/>
      <c r="C82" s="101"/>
      <c r="D82" s="16">
        <f t="shared" si="25"/>
        <v>5.90196078431372</v>
      </c>
      <c r="E82" s="16">
        <f t="shared" si="26"/>
        <v>6.02</v>
      </c>
      <c r="F82" s="17"/>
      <c r="G82" s="17"/>
      <c r="H82" s="17"/>
      <c r="I82" s="17"/>
      <c r="J82" s="17"/>
      <c r="K82" s="21" t="s">
        <v>100</v>
      </c>
      <c r="L82" s="9"/>
      <c r="M82" s="9"/>
      <c r="N82" s="21" t="s">
        <v>100</v>
      </c>
      <c r="O82" s="9">
        <f t="shared" si="30"/>
        <v>5.90196078431372</v>
      </c>
      <c r="P82" s="9">
        <v>6.02</v>
      </c>
      <c r="Q82" s="8"/>
      <c r="R82" s="9"/>
      <c r="S82" s="9"/>
      <c r="T82" s="8"/>
      <c r="U82" s="9"/>
      <c r="V82" s="9"/>
      <c r="W82" s="8"/>
      <c r="X82" s="9"/>
      <c r="Y82" s="9"/>
      <c r="Z82" s="8"/>
      <c r="AA82" s="8"/>
      <c r="AB82" s="8"/>
      <c r="AC82" s="7"/>
      <c r="AD82" s="79"/>
      <c r="AE82" s="79"/>
      <c r="AF82" s="79">
        <v>1800</v>
      </c>
      <c r="AG82" s="79"/>
      <c r="AH82" s="79"/>
      <c r="AI82" s="79"/>
      <c r="AJ82" s="8">
        <v>780</v>
      </c>
      <c r="AK82" s="79"/>
      <c r="AL82" s="79"/>
      <c r="AM82" s="79"/>
      <c r="AN82" s="79"/>
    </row>
    <row r="83" s="1" customFormat="1" outlineLevel="1" spans="1:40">
      <c r="A83" s="99" t="s">
        <v>101</v>
      </c>
      <c r="B83" s="103" t="s">
        <v>102</v>
      </c>
      <c r="C83" s="101" t="s">
        <v>30</v>
      </c>
      <c r="D83" s="16">
        <f t="shared" si="25"/>
        <v>1.3</v>
      </c>
      <c r="E83" s="16">
        <f t="shared" si="26"/>
        <v>1.365</v>
      </c>
      <c r="F83" s="17">
        <f>SUM(D83:D99)</f>
        <v>60.203</v>
      </c>
      <c r="G83" s="17">
        <f>SUM(E83:E99)</f>
        <v>63.066</v>
      </c>
      <c r="H83" s="17">
        <v>500</v>
      </c>
      <c r="I83" s="17">
        <f>H83*G83</f>
        <v>31533</v>
      </c>
      <c r="J83" s="17" t="s">
        <v>31</v>
      </c>
      <c r="K83" s="21" t="s">
        <v>32</v>
      </c>
      <c r="L83" s="9">
        <v>1.3</v>
      </c>
      <c r="M83" s="9">
        <f t="shared" ref="M83:M87" si="32">L83*1.05</f>
        <v>1.365</v>
      </c>
      <c r="N83" s="8"/>
      <c r="O83" s="9"/>
      <c r="P83" s="9"/>
      <c r="Q83" s="8"/>
      <c r="R83" s="9"/>
      <c r="S83" s="9"/>
      <c r="T83" s="8"/>
      <c r="U83" s="9"/>
      <c r="V83" s="9"/>
      <c r="W83" s="8"/>
      <c r="X83" s="9"/>
      <c r="Y83" s="9"/>
      <c r="Z83" s="8"/>
      <c r="AA83" s="8"/>
      <c r="AB83" s="8">
        <v>500</v>
      </c>
      <c r="AC83" s="7" t="s">
        <v>103</v>
      </c>
      <c r="AD83" s="77">
        <v>650</v>
      </c>
      <c r="AE83" s="77">
        <f>AD83*$F$83</f>
        <v>39131.95</v>
      </c>
      <c r="AF83" s="77">
        <v>820</v>
      </c>
      <c r="AG83" s="77">
        <f t="shared" ref="AE83:AI83" si="33">AF83*$F$83</f>
        <v>49366.46</v>
      </c>
      <c r="AH83" s="77">
        <v>670</v>
      </c>
      <c r="AI83" s="77">
        <f t="shared" si="33"/>
        <v>40336.01</v>
      </c>
      <c r="AJ83" s="8">
        <v>670</v>
      </c>
      <c r="AK83" s="77">
        <v>569.92</v>
      </c>
      <c r="AL83" s="77">
        <f>AK83*$F$83</f>
        <v>34310.89376</v>
      </c>
      <c r="AM83" s="77">
        <v>530</v>
      </c>
      <c r="AN83" s="77">
        <f>AM83*$F$83</f>
        <v>31907.59</v>
      </c>
    </row>
    <row r="84" s="1" customFormat="1" outlineLevel="1" spans="1:40">
      <c r="A84" s="99"/>
      <c r="B84" s="103"/>
      <c r="C84" s="101"/>
      <c r="D84" s="16">
        <f t="shared" si="25"/>
        <v>2.52</v>
      </c>
      <c r="E84" s="16">
        <f t="shared" si="26"/>
        <v>2.646</v>
      </c>
      <c r="F84" s="17"/>
      <c r="G84" s="17"/>
      <c r="H84" s="17"/>
      <c r="I84" s="17"/>
      <c r="J84" s="17"/>
      <c r="K84" s="18" t="s">
        <v>34</v>
      </c>
      <c r="L84" s="9">
        <v>2.52</v>
      </c>
      <c r="M84" s="9">
        <f t="shared" si="32"/>
        <v>2.646</v>
      </c>
      <c r="N84" s="8"/>
      <c r="O84" s="9"/>
      <c r="P84" s="9"/>
      <c r="Q84" s="8"/>
      <c r="R84" s="9"/>
      <c r="S84" s="9"/>
      <c r="T84" s="8"/>
      <c r="U84" s="9"/>
      <c r="V84" s="9"/>
      <c r="W84" s="8"/>
      <c r="X84" s="9"/>
      <c r="Y84" s="9"/>
      <c r="Z84" s="8"/>
      <c r="AA84" s="8"/>
      <c r="AB84" s="8"/>
      <c r="AC84" s="7"/>
      <c r="AD84" s="78"/>
      <c r="AE84" s="78"/>
      <c r="AF84" s="78">
        <v>1120</v>
      </c>
      <c r="AG84" s="78"/>
      <c r="AH84" s="78"/>
      <c r="AI84" s="78"/>
      <c r="AJ84" s="8">
        <v>670</v>
      </c>
      <c r="AK84" s="78"/>
      <c r="AL84" s="78"/>
      <c r="AM84" s="78"/>
      <c r="AN84" s="78"/>
    </row>
    <row r="85" s="1" customFormat="1" ht="24.75" outlineLevel="1" spans="1:40">
      <c r="A85" s="99"/>
      <c r="B85" s="103"/>
      <c r="C85" s="101"/>
      <c r="D85" s="16">
        <f t="shared" si="25"/>
        <v>1.08</v>
      </c>
      <c r="E85" s="16">
        <f t="shared" si="26"/>
        <v>1.134</v>
      </c>
      <c r="F85" s="17"/>
      <c r="G85" s="17"/>
      <c r="H85" s="17"/>
      <c r="I85" s="17"/>
      <c r="J85" s="17"/>
      <c r="K85" s="18" t="s">
        <v>35</v>
      </c>
      <c r="L85" s="9">
        <v>1.08</v>
      </c>
      <c r="M85" s="9">
        <f t="shared" si="32"/>
        <v>1.134</v>
      </c>
      <c r="N85" s="8"/>
      <c r="O85" s="9"/>
      <c r="P85" s="9"/>
      <c r="Q85" s="8"/>
      <c r="R85" s="9"/>
      <c r="S85" s="9"/>
      <c r="T85" s="8"/>
      <c r="U85" s="9"/>
      <c r="V85" s="9"/>
      <c r="W85" s="8"/>
      <c r="X85" s="9"/>
      <c r="Y85" s="9"/>
      <c r="Z85" s="8"/>
      <c r="AA85" s="8"/>
      <c r="AB85" s="8"/>
      <c r="AC85" s="7"/>
      <c r="AD85" s="78"/>
      <c r="AE85" s="78"/>
      <c r="AF85" s="78">
        <v>1120</v>
      </c>
      <c r="AG85" s="78"/>
      <c r="AH85" s="78"/>
      <c r="AI85" s="78"/>
      <c r="AJ85" s="8">
        <v>670</v>
      </c>
      <c r="AK85" s="78"/>
      <c r="AL85" s="78"/>
      <c r="AM85" s="78"/>
      <c r="AN85" s="78"/>
    </row>
    <row r="86" s="1" customFormat="1" ht="38.25" outlineLevel="1" spans="1:40">
      <c r="A86" s="99"/>
      <c r="B86" s="103"/>
      <c r="C86" s="101"/>
      <c r="D86" s="16">
        <f t="shared" si="25"/>
        <v>3.96</v>
      </c>
      <c r="E86" s="16">
        <f t="shared" si="26"/>
        <v>4.158</v>
      </c>
      <c r="F86" s="17"/>
      <c r="G86" s="17"/>
      <c r="H86" s="17"/>
      <c r="I86" s="17"/>
      <c r="J86" s="17"/>
      <c r="K86" s="18" t="s">
        <v>36</v>
      </c>
      <c r="L86" s="9">
        <v>3.96</v>
      </c>
      <c r="M86" s="9">
        <f t="shared" si="32"/>
        <v>4.158</v>
      </c>
      <c r="N86" s="8"/>
      <c r="O86" s="9"/>
      <c r="P86" s="9"/>
      <c r="Q86" s="8"/>
      <c r="R86" s="9"/>
      <c r="S86" s="9"/>
      <c r="T86" s="8"/>
      <c r="U86" s="9"/>
      <c r="V86" s="9"/>
      <c r="W86" s="8"/>
      <c r="X86" s="9"/>
      <c r="Y86" s="9"/>
      <c r="Z86" s="8"/>
      <c r="AA86" s="8"/>
      <c r="AB86" s="8"/>
      <c r="AC86" s="7"/>
      <c r="AD86" s="78"/>
      <c r="AE86" s="78"/>
      <c r="AF86" s="78">
        <v>1120</v>
      </c>
      <c r="AG86" s="78"/>
      <c r="AH86" s="78"/>
      <c r="AI86" s="78"/>
      <c r="AJ86" s="8">
        <v>670</v>
      </c>
      <c r="AK86" s="78"/>
      <c r="AL86" s="78"/>
      <c r="AM86" s="78"/>
      <c r="AN86" s="78"/>
    </row>
    <row r="87" s="1" customFormat="1" ht="25.5" outlineLevel="1" spans="1:40">
      <c r="A87" s="99"/>
      <c r="B87" s="103"/>
      <c r="C87" s="101"/>
      <c r="D87" s="16">
        <f t="shared" si="25"/>
        <v>1.32</v>
      </c>
      <c r="E87" s="16">
        <f t="shared" si="26"/>
        <v>1.386</v>
      </c>
      <c r="F87" s="17"/>
      <c r="G87" s="17"/>
      <c r="H87" s="17"/>
      <c r="I87" s="17"/>
      <c r="J87" s="17"/>
      <c r="K87" s="18" t="s">
        <v>37</v>
      </c>
      <c r="L87" s="9">
        <v>1.32</v>
      </c>
      <c r="M87" s="9">
        <f t="shared" si="32"/>
        <v>1.386</v>
      </c>
      <c r="N87" s="8"/>
      <c r="O87" s="9"/>
      <c r="P87" s="9"/>
      <c r="Q87" s="8"/>
      <c r="R87" s="9"/>
      <c r="S87" s="9"/>
      <c r="T87" s="8"/>
      <c r="U87" s="9"/>
      <c r="V87" s="9"/>
      <c r="W87" s="8"/>
      <c r="X87" s="9"/>
      <c r="Y87" s="9"/>
      <c r="Z87" s="8"/>
      <c r="AA87" s="8"/>
      <c r="AB87" s="8"/>
      <c r="AC87" s="7"/>
      <c r="AD87" s="78"/>
      <c r="AE87" s="78"/>
      <c r="AF87" s="78">
        <v>1120</v>
      </c>
      <c r="AG87" s="78"/>
      <c r="AH87" s="78"/>
      <c r="AI87" s="78"/>
      <c r="AJ87" s="8">
        <v>670</v>
      </c>
      <c r="AK87" s="78"/>
      <c r="AL87" s="78"/>
      <c r="AM87" s="78"/>
      <c r="AN87" s="78"/>
    </row>
    <row r="88" s="1" customFormat="1" outlineLevel="1" spans="1:40">
      <c r="A88" s="99"/>
      <c r="B88" s="103"/>
      <c r="C88" s="101"/>
      <c r="D88" s="16">
        <f t="shared" si="25"/>
        <v>0.84</v>
      </c>
      <c r="E88" s="16">
        <f t="shared" si="26"/>
        <v>0.882</v>
      </c>
      <c r="F88" s="17"/>
      <c r="G88" s="17"/>
      <c r="H88" s="17"/>
      <c r="I88" s="17"/>
      <c r="J88" s="17" t="s">
        <v>39</v>
      </c>
      <c r="K88" s="18" t="s">
        <v>40</v>
      </c>
      <c r="L88" s="8"/>
      <c r="M88" s="8"/>
      <c r="N88" s="21" t="s">
        <v>40</v>
      </c>
      <c r="O88" s="9">
        <f>1.2*0.7</f>
        <v>0.84</v>
      </c>
      <c r="P88" s="9">
        <f t="shared" ref="P88:P93" si="34">O88*1.05</f>
        <v>0.882</v>
      </c>
      <c r="Q88" s="8"/>
      <c r="R88" s="9"/>
      <c r="S88" s="9"/>
      <c r="T88" s="8"/>
      <c r="U88" s="9"/>
      <c r="V88" s="9"/>
      <c r="W88" s="8"/>
      <c r="X88" s="9"/>
      <c r="Y88" s="9"/>
      <c r="Z88" s="8"/>
      <c r="AA88" s="8"/>
      <c r="AB88" s="8"/>
      <c r="AC88" s="7"/>
      <c r="AD88" s="78"/>
      <c r="AE88" s="78"/>
      <c r="AF88" s="78">
        <v>1120</v>
      </c>
      <c r="AG88" s="78"/>
      <c r="AH88" s="78"/>
      <c r="AI88" s="78"/>
      <c r="AJ88" s="8">
        <v>670</v>
      </c>
      <c r="AK88" s="78"/>
      <c r="AL88" s="78"/>
      <c r="AM88" s="78"/>
      <c r="AN88" s="78"/>
    </row>
    <row r="89" s="1" customFormat="1" outlineLevel="1" spans="1:40">
      <c r="A89" s="99"/>
      <c r="B89" s="103"/>
      <c r="C89" s="101"/>
      <c r="D89" s="16">
        <f t="shared" si="25"/>
        <v>1.28</v>
      </c>
      <c r="E89" s="16">
        <f t="shared" si="26"/>
        <v>1.344</v>
      </c>
      <c r="F89" s="17"/>
      <c r="G89" s="17"/>
      <c r="H89" s="17"/>
      <c r="I89" s="17"/>
      <c r="J89" s="17"/>
      <c r="K89" s="18" t="s">
        <v>44</v>
      </c>
      <c r="L89" s="8"/>
      <c r="M89" s="8"/>
      <c r="N89" s="21" t="s">
        <v>44</v>
      </c>
      <c r="O89" s="9">
        <f>1.6*0.8</f>
        <v>1.28</v>
      </c>
      <c r="P89" s="9">
        <f t="shared" si="34"/>
        <v>1.344</v>
      </c>
      <c r="Q89" s="8"/>
      <c r="R89" s="9"/>
      <c r="S89" s="9"/>
      <c r="T89" s="8"/>
      <c r="U89" s="9"/>
      <c r="V89" s="9"/>
      <c r="W89" s="8"/>
      <c r="X89" s="9"/>
      <c r="Y89" s="9"/>
      <c r="Z89" s="8"/>
      <c r="AA89" s="8"/>
      <c r="AB89" s="8"/>
      <c r="AC89" s="7"/>
      <c r="AD89" s="78"/>
      <c r="AE89" s="78"/>
      <c r="AF89" s="78">
        <v>1120</v>
      </c>
      <c r="AG89" s="78"/>
      <c r="AH89" s="78"/>
      <c r="AI89" s="78"/>
      <c r="AJ89" s="8">
        <v>670</v>
      </c>
      <c r="AK89" s="78"/>
      <c r="AL89" s="78"/>
      <c r="AM89" s="78"/>
      <c r="AN89" s="78"/>
    </row>
    <row r="90" s="1" customFormat="1" ht="24.75" outlineLevel="1" spans="1:40">
      <c r="A90" s="99"/>
      <c r="B90" s="103"/>
      <c r="C90" s="101"/>
      <c r="D90" s="16">
        <f t="shared" si="25"/>
        <v>12.488</v>
      </c>
      <c r="E90" s="16">
        <f t="shared" si="26"/>
        <v>13.1124</v>
      </c>
      <c r="F90" s="17"/>
      <c r="G90" s="17"/>
      <c r="H90" s="17"/>
      <c r="I90" s="17"/>
      <c r="J90" s="17"/>
      <c r="K90" s="18" t="s">
        <v>104</v>
      </c>
      <c r="L90" s="8"/>
      <c r="M90" s="8"/>
      <c r="N90" s="21" t="s">
        <v>104</v>
      </c>
      <c r="O90" s="9">
        <f>7.848+4.64</f>
        <v>12.488</v>
      </c>
      <c r="P90" s="9">
        <f t="shared" si="34"/>
        <v>13.1124</v>
      </c>
      <c r="Q90" s="8"/>
      <c r="R90" s="9"/>
      <c r="S90" s="9"/>
      <c r="T90" s="8"/>
      <c r="U90" s="9"/>
      <c r="V90" s="9"/>
      <c r="W90" s="8"/>
      <c r="X90" s="9"/>
      <c r="Y90" s="9"/>
      <c r="Z90" s="8"/>
      <c r="AA90" s="8"/>
      <c r="AB90" s="8"/>
      <c r="AC90" s="7"/>
      <c r="AD90" s="78"/>
      <c r="AE90" s="78"/>
      <c r="AF90" s="78">
        <v>1120</v>
      </c>
      <c r="AG90" s="78"/>
      <c r="AH90" s="78"/>
      <c r="AI90" s="78"/>
      <c r="AJ90" s="8">
        <v>670</v>
      </c>
      <c r="AK90" s="78"/>
      <c r="AL90" s="78"/>
      <c r="AM90" s="78"/>
      <c r="AN90" s="78"/>
    </row>
    <row r="91" s="1" customFormat="1" outlineLevel="1" spans="1:40">
      <c r="A91" s="99"/>
      <c r="B91" s="103"/>
      <c r="C91" s="101"/>
      <c r="D91" s="16">
        <f t="shared" si="25"/>
        <v>6.864</v>
      </c>
      <c r="E91" s="16">
        <f t="shared" si="26"/>
        <v>7.2072</v>
      </c>
      <c r="F91" s="17"/>
      <c r="G91" s="17"/>
      <c r="H91" s="17"/>
      <c r="I91" s="17"/>
      <c r="J91" s="17"/>
      <c r="K91" s="57" t="s">
        <v>59</v>
      </c>
      <c r="L91" s="8"/>
      <c r="M91" s="8"/>
      <c r="N91" s="8" t="s">
        <v>59</v>
      </c>
      <c r="O91" s="9">
        <f>8.58*0.8</f>
        <v>6.864</v>
      </c>
      <c r="P91" s="9">
        <f t="shared" si="34"/>
        <v>7.2072</v>
      </c>
      <c r="Q91" s="8"/>
      <c r="R91" s="9"/>
      <c r="S91" s="9"/>
      <c r="T91" s="8"/>
      <c r="U91" s="9"/>
      <c r="V91" s="9"/>
      <c r="W91" s="8"/>
      <c r="X91" s="9"/>
      <c r="Y91" s="9"/>
      <c r="Z91" s="8"/>
      <c r="AA91" s="8"/>
      <c r="AB91" s="8"/>
      <c r="AC91" s="7"/>
      <c r="AD91" s="78"/>
      <c r="AE91" s="78"/>
      <c r="AF91" s="78">
        <v>1120</v>
      </c>
      <c r="AG91" s="78"/>
      <c r="AH91" s="78"/>
      <c r="AI91" s="78"/>
      <c r="AJ91" s="8">
        <v>670</v>
      </c>
      <c r="AK91" s="78"/>
      <c r="AL91" s="78"/>
      <c r="AM91" s="78"/>
      <c r="AN91" s="78"/>
    </row>
    <row r="92" s="1" customFormat="1" outlineLevel="1" spans="1:40">
      <c r="A92" s="99"/>
      <c r="B92" s="103"/>
      <c r="C92" s="101"/>
      <c r="D92" s="16">
        <f t="shared" si="25"/>
        <v>1.8</v>
      </c>
      <c r="E92" s="16">
        <f t="shared" si="26"/>
        <v>1.89</v>
      </c>
      <c r="F92" s="17"/>
      <c r="G92" s="17"/>
      <c r="H92" s="17"/>
      <c r="I92" s="17"/>
      <c r="J92" s="17"/>
      <c r="K92" s="8" t="s">
        <v>60</v>
      </c>
      <c r="L92" s="8"/>
      <c r="M92" s="8"/>
      <c r="N92" s="8" t="s">
        <v>60</v>
      </c>
      <c r="O92" s="9">
        <v>1.8</v>
      </c>
      <c r="P92" s="9">
        <f t="shared" si="34"/>
        <v>1.89</v>
      </c>
      <c r="Q92" s="8"/>
      <c r="R92" s="9"/>
      <c r="S92" s="9"/>
      <c r="T92" s="8"/>
      <c r="U92" s="9"/>
      <c r="V92" s="9"/>
      <c r="W92" s="8"/>
      <c r="X92" s="9"/>
      <c r="Y92" s="9"/>
      <c r="Z92" s="8"/>
      <c r="AA92" s="8"/>
      <c r="AB92" s="8"/>
      <c r="AC92" s="7"/>
      <c r="AD92" s="78"/>
      <c r="AE92" s="78"/>
      <c r="AF92" s="78">
        <v>1120</v>
      </c>
      <c r="AG92" s="78"/>
      <c r="AH92" s="78"/>
      <c r="AI92" s="78"/>
      <c r="AJ92" s="8">
        <v>670</v>
      </c>
      <c r="AK92" s="78"/>
      <c r="AL92" s="78"/>
      <c r="AM92" s="78"/>
      <c r="AN92" s="78"/>
    </row>
    <row r="93" s="1" customFormat="1" outlineLevel="1" spans="1:40">
      <c r="A93" s="99"/>
      <c r="B93" s="103"/>
      <c r="C93" s="101"/>
      <c r="D93" s="16">
        <f t="shared" si="25"/>
        <v>3.52</v>
      </c>
      <c r="E93" s="16">
        <f t="shared" si="26"/>
        <v>3.696</v>
      </c>
      <c r="F93" s="17"/>
      <c r="G93" s="17"/>
      <c r="H93" s="17"/>
      <c r="I93" s="17"/>
      <c r="J93" s="17"/>
      <c r="K93" s="21" t="s">
        <v>105</v>
      </c>
      <c r="L93" s="8"/>
      <c r="M93" s="8"/>
      <c r="N93" s="21" t="s">
        <v>105</v>
      </c>
      <c r="O93" s="9">
        <f>4.4*0.8</f>
        <v>3.52</v>
      </c>
      <c r="P93" s="9">
        <f t="shared" si="34"/>
        <v>3.696</v>
      </c>
      <c r="Q93" s="8"/>
      <c r="R93" s="9"/>
      <c r="S93" s="9"/>
      <c r="T93" s="8"/>
      <c r="U93" s="9"/>
      <c r="V93" s="9"/>
      <c r="W93" s="8"/>
      <c r="X93" s="9"/>
      <c r="Y93" s="9"/>
      <c r="Z93" s="8"/>
      <c r="AA93" s="8"/>
      <c r="AB93" s="8"/>
      <c r="AC93" s="7"/>
      <c r="AD93" s="78"/>
      <c r="AE93" s="78"/>
      <c r="AF93" s="78">
        <v>1120</v>
      </c>
      <c r="AG93" s="78"/>
      <c r="AH93" s="78"/>
      <c r="AI93" s="78"/>
      <c r="AJ93" s="8">
        <v>670</v>
      </c>
      <c r="AK93" s="78"/>
      <c r="AL93" s="78"/>
      <c r="AM93" s="78"/>
      <c r="AN93" s="78"/>
    </row>
    <row r="94" s="1" customFormat="1" outlineLevel="1" spans="1:40">
      <c r="A94" s="99"/>
      <c r="B94" s="103"/>
      <c r="C94" s="101"/>
      <c r="D94" s="16">
        <f t="shared" si="25"/>
        <v>3.712</v>
      </c>
      <c r="E94" s="16">
        <f t="shared" si="26"/>
        <v>3.8976</v>
      </c>
      <c r="F94" s="17"/>
      <c r="G94" s="17"/>
      <c r="H94" s="17"/>
      <c r="I94" s="17"/>
      <c r="J94" s="17" t="s">
        <v>48</v>
      </c>
      <c r="K94" s="21" t="s">
        <v>49</v>
      </c>
      <c r="L94" s="8"/>
      <c r="M94" s="8"/>
      <c r="N94" s="21"/>
      <c r="O94" s="9"/>
      <c r="P94" s="9"/>
      <c r="Q94" s="21" t="s">
        <v>49</v>
      </c>
      <c r="R94" s="9">
        <v>3.712</v>
      </c>
      <c r="S94" s="9">
        <f t="shared" ref="S94:S96" si="35">R94*1.05</f>
        <v>3.8976</v>
      </c>
      <c r="T94" s="8"/>
      <c r="U94" s="9"/>
      <c r="V94" s="9"/>
      <c r="W94" s="8"/>
      <c r="X94" s="9"/>
      <c r="Y94" s="9"/>
      <c r="Z94" s="8"/>
      <c r="AA94" s="8"/>
      <c r="AB94" s="8"/>
      <c r="AC94" s="7"/>
      <c r="AD94" s="78"/>
      <c r="AE94" s="78"/>
      <c r="AF94" s="78">
        <v>1120</v>
      </c>
      <c r="AG94" s="78"/>
      <c r="AH94" s="78"/>
      <c r="AI94" s="78"/>
      <c r="AJ94" s="8">
        <v>670</v>
      </c>
      <c r="AK94" s="78"/>
      <c r="AL94" s="78"/>
      <c r="AM94" s="78"/>
      <c r="AN94" s="78"/>
    </row>
    <row r="95" s="1" customFormat="1" outlineLevel="1" spans="1:40">
      <c r="A95" s="99"/>
      <c r="B95" s="103"/>
      <c r="C95" s="101"/>
      <c r="D95" s="16">
        <f t="shared" si="25"/>
        <v>5.6</v>
      </c>
      <c r="E95" s="16">
        <f t="shared" si="26"/>
        <v>5.88</v>
      </c>
      <c r="F95" s="17"/>
      <c r="G95" s="17"/>
      <c r="H95" s="17"/>
      <c r="I95" s="17"/>
      <c r="J95" s="17"/>
      <c r="K95" s="21" t="s">
        <v>50</v>
      </c>
      <c r="L95" s="8"/>
      <c r="M95" s="8"/>
      <c r="N95" s="21"/>
      <c r="O95" s="9"/>
      <c r="P95" s="9"/>
      <c r="Q95" s="21" t="s">
        <v>50</v>
      </c>
      <c r="R95" s="9">
        <v>5.6</v>
      </c>
      <c r="S95" s="9">
        <f t="shared" si="35"/>
        <v>5.88</v>
      </c>
      <c r="T95" s="8"/>
      <c r="U95" s="9"/>
      <c r="V95" s="9"/>
      <c r="W95" s="8"/>
      <c r="X95" s="9"/>
      <c r="Y95" s="9"/>
      <c r="Z95" s="8"/>
      <c r="AA95" s="8"/>
      <c r="AB95" s="8"/>
      <c r="AC95" s="7"/>
      <c r="AD95" s="78"/>
      <c r="AE95" s="78"/>
      <c r="AF95" s="78">
        <v>1120</v>
      </c>
      <c r="AG95" s="78"/>
      <c r="AH95" s="78"/>
      <c r="AI95" s="78"/>
      <c r="AJ95" s="8">
        <v>670</v>
      </c>
      <c r="AK95" s="78"/>
      <c r="AL95" s="78"/>
      <c r="AM95" s="78"/>
      <c r="AN95" s="78"/>
    </row>
    <row r="96" s="1" customFormat="1" outlineLevel="1" spans="1:40">
      <c r="A96" s="99"/>
      <c r="B96" s="103"/>
      <c r="C96" s="101"/>
      <c r="D96" s="16">
        <f t="shared" si="25"/>
        <v>1.6</v>
      </c>
      <c r="E96" s="16">
        <f t="shared" si="26"/>
        <v>1.68</v>
      </c>
      <c r="F96" s="17"/>
      <c r="G96" s="17"/>
      <c r="H96" s="17"/>
      <c r="I96" s="17"/>
      <c r="J96" s="17"/>
      <c r="K96" s="21" t="s">
        <v>106</v>
      </c>
      <c r="L96" s="8"/>
      <c r="M96" s="8"/>
      <c r="N96" s="21"/>
      <c r="O96" s="9"/>
      <c r="P96" s="9"/>
      <c r="Q96" s="21" t="s">
        <v>106</v>
      </c>
      <c r="R96" s="9">
        <v>1.6</v>
      </c>
      <c r="S96" s="9">
        <f t="shared" si="35"/>
        <v>1.68</v>
      </c>
      <c r="T96" s="8"/>
      <c r="U96" s="9"/>
      <c r="V96" s="9"/>
      <c r="W96" s="8"/>
      <c r="X96" s="9"/>
      <c r="Y96" s="9"/>
      <c r="Z96" s="8"/>
      <c r="AA96" s="8"/>
      <c r="AB96" s="8"/>
      <c r="AC96" s="7"/>
      <c r="AD96" s="78"/>
      <c r="AE96" s="78"/>
      <c r="AF96" s="78">
        <v>1120</v>
      </c>
      <c r="AG96" s="78"/>
      <c r="AH96" s="78"/>
      <c r="AI96" s="78"/>
      <c r="AJ96" s="8">
        <v>670</v>
      </c>
      <c r="AK96" s="78"/>
      <c r="AL96" s="78"/>
      <c r="AM96" s="78"/>
      <c r="AN96" s="78"/>
    </row>
    <row r="97" s="1" customFormat="1" outlineLevel="1" spans="1:40">
      <c r="A97" s="99"/>
      <c r="B97" s="103"/>
      <c r="C97" s="101"/>
      <c r="D97" s="16">
        <f t="shared" si="25"/>
        <v>5.6</v>
      </c>
      <c r="E97" s="16">
        <f t="shared" si="26"/>
        <v>5.88</v>
      </c>
      <c r="F97" s="17"/>
      <c r="G97" s="17"/>
      <c r="H97" s="17"/>
      <c r="I97" s="17"/>
      <c r="J97" s="17" t="s">
        <v>52</v>
      </c>
      <c r="K97" s="8" t="s">
        <v>53</v>
      </c>
      <c r="L97" s="8"/>
      <c r="M97" s="8"/>
      <c r="N97" s="21"/>
      <c r="O97" s="9"/>
      <c r="P97" s="9"/>
      <c r="Q97" s="21"/>
      <c r="R97" s="9"/>
      <c r="S97" s="9"/>
      <c r="T97" s="8" t="s">
        <v>53</v>
      </c>
      <c r="U97" s="9">
        <v>5.6</v>
      </c>
      <c r="V97" s="9">
        <f>U97*1.05</f>
        <v>5.88</v>
      </c>
      <c r="W97" s="8"/>
      <c r="X97" s="9"/>
      <c r="Y97" s="9"/>
      <c r="Z97" s="8"/>
      <c r="AA97" s="8"/>
      <c r="AB97" s="8"/>
      <c r="AC97" s="7"/>
      <c r="AD97" s="78"/>
      <c r="AE97" s="78"/>
      <c r="AF97" s="78">
        <v>1120</v>
      </c>
      <c r="AG97" s="78"/>
      <c r="AH97" s="78"/>
      <c r="AI97" s="78"/>
      <c r="AJ97" s="8">
        <v>670</v>
      </c>
      <c r="AK97" s="78"/>
      <c r="AL97" s="78"/>
      <c r="AM97" s="78"/>
      <c r="AN97" s="78"/>
    </row>
    <row r="98" s="1" customFormat="1" outlineLevel="1" spans="1:40">
      <c r="A98" s="99"/>
      <c r="B98" s="103"/>
      <c r="C98" s="101"/>
      <c r="D98" s="16">
        <f t="shared" si="25"/>
        <v>2.943</v>
      </c>
      <c r="E98" s="16">
        <f t="shared" si="26"/>
        <v>2.943</v>
      </c>
      <c r="F98" s="17"/>
      <c r="G98" s="17"/>
      <c r="H98" s="17"/>
      <c r="I98" s="17"/>
      <c r="J98" s="17"/>
      <c r="K98" s="21" t="s">
        <v>107</v>
      </c>
      <c r="L98" s="8"/>
      <c r="M98" s="8"/>
      <c r="N98" s="21"/>
      <c r="O98" s="9"/>
      <c r="P98" s="9"/>
      <c r="Q98" s="21"/>
      <c r="R98" s="9"/>
      <c r="S98" s="9"/>
      <c r="T98" s="21" t="s">
        <v>107</v>
      </c>
      <c r="U98" s="9">
        <f>1.8+1.143</f>
        <v>2.943</v>
      </c>
      <c r="V98" s="9">
        <f>1.8+1.143</f>
        <v>2.943</v>
      </c>
      <c r="W98" s="8"/>
      <c r="X98" s="9"/>
      <c r="Y98" s="9"/>
      <c r="Z98" s="8"/>
      <c r="AA98" s="8"/>
      <c r="AB98" s="8"/>
      <c r="AC98" s="7"/>
      <c r="AD98" s="78"/>
      <c r="AE98" s="78"/>
      <c r="AF98" s="78">
        <v>1120</v>
      </c>
      <c r="AG98" s="78"/>
      <c r="AH98" s="78"/>
      <c r="AI98" s="78"/>
      <c r="AJ98" s="8">
        <v>670</v>
      </c>
      <c r="AK98" s="78"/>
      <c r="AL98" s="78"/>
      <c r="AM98" s="78"/>
      <c r="AN98" s="78"/>
    </row>
    <row r="99" s="1" customFormat="1" outlineLevel="1" spans="1:40">
      <c r="A99" s="99"/>
      <c r="B99" s="103"/>
      <c r="C99" s="101"/>
      <c r="D99" s="16">
        <f t="shared" si="25"/>
        <v>3.776</v>
      </c>
      <c r="E99" s="16">
        <f t="shared" si="26"/>
        <v>3.9648</v>
      </c>
      <c r="F99" s="17"/>
      <c r="G99" s="17"/>
      <c r="H99" s="17"/>
      <c r="I99" s="17"/>
      <c r="J99" s="17" t="s">
        <v>55</v>
      </c>
      <c r="K99" s="7" t="s">
        <v>56</v>
      </c>
      <c r="L99" s="8"/>
      <c r="M99" s="8"/>
      <c r="N99" s="21"/>
      <c r="O99" s="9"/>
      <c r="P99" s="9"/>
      <c r="Q99" s="21"/>
      <c r="R99" s="9"/>
      <c r="S99" s="9"/>
      <c r="T99" s="21"/>
      <c r="U99" s="9"/>
      <c r="V99" s="9"/>
      <c r="W99" s="7" t="s">
        <v>56</v>
      </c>
      <c r="X99" s="9">
        <v>3.776</v>
      </c>
      <c r="Y99" s="9">
        <f>X99*1.05</f>
        <v>3.9648</v>
      </c>
      <c r="Z99" s="8"/>
      <c r="AA99" s="8"/>
      <c r="AB99" s="8"/>
      <c r="AC99" s="7"/>
      <c r="AD99" s="79"/>
      <c r="AE99" s="79"/>
      <c r="AF99" s="79">
        <v>1120</v>
      </c>
      <c r="AG99" s="79"/>
      <c r="AH99" s="79"/>
      <c r="AI99" s="79"/>
      <c r="AJ99" s="8">
        <v>670</v>
      </c>
      <c r="AK99" s="79"/>
      <c r="AL99" s="79"/>
      <c r="AM99" s="79"/>
      <c r="AN99" s="79"/>
    </row>
    <row r="100" s="1" customFormat="1" outlineLevel="1" spans="1:40">
      <c r="A100" s="99" t="s">
        <v>28</v>
      </c>
      <c r="B100" s="103" t="s">
        <v>108</v>
      </c>
      <c r="C100" s="101" t="s">
        <v>30</v>
      </c>
      <c r="D100" s="16">
        <f t="shared" si="25"/>
        <v>2.72</v>
      </c>
      <c r="E100" s="16">
        <f t="shared" si="26"/>
        <v>2.7744</v>
      </c>
      <c r="F100" s="17">
        <f>SUM(D100:D101)</f>
        <v>4.97</v>
      </c>
      <c r="G100" s="17">
        <f>SUM(E100:E101)</f>
        <v>5.0694</v>
      </c>
      <c r="H100" s="17">
        <v>550</v>
      </c>
      <c r="I100" s="17">
        <f>H100*G100</f>
        <v>2788.17</v>
      </c>
      <c r="J100" s="17" t="s">
        <v>48</v>
      </c>
      <c r="K100" s="21" t="s">
        <v>49</v>
      </c>
      <c r="L100" s="8"/>
      <c r="M100" s="8"/>
      <c r="N100" s="21"/>
      <c r="O100" s="8"/>
      <c r="P100" s="8"/>
      <c r="Q100" s="21" t="s">
        <v>49</v>
      </c>
      <c r="R100" s="9">
        <v>2.72</v>
      </c>
      <c r="S100" s="9">
        <f>R100*1.02</f>
        <v>2.7744</v>
      </c>
      <c r="T100" s="8"/>
      <c r="U100" s="9"/>
      <c r="V100" s="9"/>
      <c r="W100" s="8"/>
      <c r="X100" s="9"/>
      <c r="Y100" s="9"/>
      <c r="Z100" s="8"/>
      <c r="AA100" s="8"/>
      <c r="AB100" s="8">
        <v>550</v>
      </c>
      <c r="AC100" s="7" t="s">
        <v>73</v>
      </c>
      <c r="AD100" s="77">
        <v>540</v>
      </c>
      <c r="AE100" s="77">
        <f>AD100*$F$100</f>
        <v>2683.8</v>
      </c>
      <c r="AF100" s="77">
        <v>560</v>
      </c>
      <c r="AG100" s="77">
        <f t="shared" ref="AE100:AI100" si="36">AF100*$F$100</f>
        <v>2783.2</v>
      </c>
      <c r="AH100" s="77">
        <v>740</v>
      </c>
      <c r="AI100" s="77">
        <f t="shared" si="36"/>
        <v>3677.8</v>
      </c>
      <c r="AJ100" s="8">
        <v>590</v>
      </c>
      <c r="AK100" s="77">
        <v>569.52</v>
      </c>
      <c r="AL100" s="77">
        <f>AK100*$F$100</f>
        <v>2830.5144</v>
      </c>
      <c r="AM100" s="77">
        <v>530</v>
      </c>
      <c r="AN100" s="77">
        <f>AM100*$F$100</f>
        <v>2634.1</v>
      </c>
    </row>
    <row r="101" s="1" customFormat="1" outlineLevel="1" spans="1:40">
      <c r="A101" s="99"/>
      <c r="B101" s="103"/>
      <c r="C101" s="101"/>
      <c r="D101" s="16">
        <f t="shared" si="25"/>
        <v>2.25</v>
      </c>
      <c r="E101" s="16">
        <f t="shared" si="26"/>
        <v>2.295</v>
      </c>
      <c r="F101" s="17"/>
      <c r="G101" s="17"/>
      <c r="H101" s="17"/>
      <c r="I101" s="17"/>
      <c r="J101" s="17" t="s">
        <v>52</v>
      </c>
      <c r="K101" s="21" t="s">
        <v>49</v>
      </c>
      <c r="L101" s="8"/>
      <c r="M101" s="8"/>
      <c r="N101" s="21"/>
      <c r="O101" s="8"/>
      <c r="P101" s="8"/>
      <c r="Q101" s="21"/>
      <c r="R101" s="9"/>
      <c r="S101" s="9"/>
      <c r="T101" s="8" t="s">
        <v>53</v>
      </c>
      <c r="U101" s="9">
        <v>2.25</v>
      </c>
      <c r="V101" s="9">
        <f>U101*1.02</f>
        <v>2.295</v>
      </c>
      <c r="W101" s="8"/>
      <c r="X101" s="9"/>
      <c r="Y101" s="9"/>
      <c r="Z101" s="8"/>
      <c r="AA101" s="8"/>
      <c r="AB101" s="8"/>
      <c r="AC101" s="7"/>
      <c r="AD101" s="79"/>
      <c r="AE101" s="79"/>
      <c r="AF101" s="79">
        <v>560</v>
      </c>
      <c r="AG101" s="79"/>
      <c r="AH101" s="79"/>
      <c r="AI101" s="79"/>
      <c r="AJ101" s="8">
        <v>590</v>
      </c>
      <c r="AK101" s="79"/>
      <c r="AL101" s="79"/>
      <c r="AM101" s="79"/>
      <c r="AN101" s="79"/>
    </row>
    <row r="102" spans="1:40">
      <c r="A102" s="7" t="s">
        <v>109</v>
      </c>
      <c r="B102" s="57"/>
      <c r="C102" s="8"/>
      <c r="D102" s="9"/>
      <c r="E102" s="9"/>
      <c r="F102" s="9"/>
      <c r="G102" s="9"/>
      <c r="H102" s="9"/>
      <c r="I102" s="9"/>
      <c r="J102" s="9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s="1" customFormat="1" outlineLevel="1" spans="1:42">
      <c r="A103" s="105" t="s">
        <v>28</v>
      </c>
      <c r="B103" s="112" t="s">
        <v>108</v>
      </c>
      <c r="C103" s="106" t="s">
        <v>30</v>
      </c>
      <c r="D103" s="16">
        <f t="shared" ref="D103:D118" si="37">L103+O103</f>
        <v>9.63</v>
      </c>
      <c r="E103" s="16">
        <f t="shared" ref="E103:E121" si="38">M103+P103</f>
        <v>9.63</v>
      </c>
      <c r="F103" s="17">
        <f>SUM(D103:D114)</f>
        <v>287.74</v>
      </c>
      <c r="G103" s="17">
        <f>SUM(E103:E114)</f>
        <v>289.87</v>
      </c>
      <c r="H103" s="17">
        <v>780</v>
      </c>
      <c r="I103" s="17">
        <f>G103*H103</f>
        <v>226098.6</v>
      </c>
      <c r="J103" s="17" t="s">
        <v>31</v>
      </c>
      <c r="K103" s="7" t="s">
        <v>110</v>
      </c>
      <c r="L103" s="9">
        <v>9.63</v>
      </c>
      <c r="M103" s="9">
        <v>9.63</v>
      </c>
      <c r="N103" s="8"/>
      <c r="O103" s="9"/>
      <c r="P103" s="9"/>
      <c r="Q103" s="8"/>
      <c r="R103" s="8"/>
      <c r="S103" s="8">
        <v>780</v>
      </c>
      <c r="T103" s="7" t="s">
        <v>33</v>
      </c>
      <c r="U103" s="8"/>
      <c r="V103" s="8"/>
      <c r="W103" s="8"/>
      <c r="X103" s="8"/>
      <c r="Y103" s="8"/>
      <c r="Z103" s="8"/>
      <c r="AA103" s="8"/>
      <c r="AB103" s="8"/>
      <c r="AC103" s="8"/>
      <c r="AD103" s="77">
        <v>455</v>
      </c>
      <c r="AE103" s="77">
        <f>AD103*$F$103</f>
        <v>130921.7</v>
      </c>
      <c r="AF103" s="77">
        <v>560</v>
      </c>
      <c r="AG103" s="77">
        <f t="shared" ref="AE103:AI103" si="39">AF103*$F$103</f>
        <v>161134.4</v>
      </c>
      <c r="AH103" s="77">
        <v>670</v>
      </c>
      <c r="AI103" s="77">
        <f t="shared" si="39"/>
        <v>192785.8</v>
      </c>
      <c r="AJ103" s="8"/>
      <c r="AK103" s="77">
        <v>569.52</v>
      </c>
      <c r="AL103" s="77">
        <f>AK103*$F$103</f>
        <v>163873.6848</v>
      </c>
      <c r="AM103" s="77">
        <v>740</v>
      </c>
      <c r="AN103" s="77">
        <f>AM103*$F$103</f>
        <v>212927.6</v>
      </c>
      <c r="AO103" s="1">
        <v>130921.7</v>
      </c>
      <c r="AP103" s="1">
        <f>AO103-AE103</f>
        <v>0</v>
      </c>
    </row>
    <row r="104" s="1" customFormat="1" outlineLevel="1" spans="1:40">
      <c r="A104" s="113"/>
      <c r="B104" s="114"/>
      <c r="C104" s="115"/>
      <c r="D104" s="16">
        <f t="shared" si="37"/>
        <v>6.22</v>
      </c>
      <c r="E104" s="16">
        <f t="shared" si="38"/>
        <v>6.59</v>
      </c>
      <c r="F104" s="17"/>
      <c r="G104" s="17"/>
      <c r="H104" s="17"/>
      <c r="I104" s="17"/>
      <c r="J104" s="17"/>
      <c r="K104" s="7" t="s">
        <v>111</v>
      </c>
      <c r="L104" s="9">
        <v>6.22</v>
      </c>
      <c r="M104" s="9">
        <v>6.59</v>
      </c>
      <c r="N104" s="8"/>
      <c r="O104" s="9"/>
      <c r="P104" s="9"/>
      <c r="Q104" s="8"/>
      <c r="R104" s="8"/>
      <c r="S104" s="8"/>
      <c r="T104" s="7"/>
      <c r="U104" s="8"/>
      <c r="V104" s="8"/>
      <c r="W104" s="8"/>
      <c r="X104" s="8"/>
      <c r="Y104" s="8"/>
      <c r="Z104" s="8"/>
      <c r="AA104" s="8"/>
      <c r="AB104" s="8"/>
      <c r="AC104" s="8"/>
      <c r="AD104" s="78"/>
      <c r="AE104" s="78"/>
      <c r="AF104" s="78">
        <v>560</v>
      </c>
      <c r="AG104" s="78"/>
      <c r="AH104" s="78"/>
      <c r="AI104" s="78"/>
      <c r="AJ104" s="8"/>
      <c r="AK104" s="78"/>
      <c r="AL104" s="78"/>
      <c r="AM104" s="78"/>
      <c r="AN104" s="78"/>
    </row>
    <row r="105" s="1" customFormat="1" outlineLevel="1" spans="1:40">
      <c r="A105" s="113"/>
      <c r="B105" s="114"/>
      <c r="C105" s="115"/>
      <c r="D105" s="16">
        <f t="shared" si="37"/>
        <v>7.69</v>
      </c>
      <c r="E105" s="16">
        <f t="shared" si="38"/>
        <v>7.84</v>
      </c>
      <c r="F105" s="17"/>
      <c r="G105" s="17"/>
      <c r="H105" s="17"/>
      <c r="I105" s="17"/>
      <c r="J105" s="17"/>
      <c r="K105" s="7" t="s">
        <v>111</v>
      </c>
      <c r="L105" s="9">
        <v>7.69</v>
      </c>
      <c r="M105" s="9">
        <v>7.84</v>
      </c>
      <c r="N105" s="8"/>
      <c r="O105" s="9"/>
      <c r="P105" s="9"/>
      <c r="Q105" s="8"/>
      <c r="R105" s="8"/>
      <c r="S105" s="8"/>
      <c r="T105" s="7"/>
      <c r="U105" s="8"/>
      <c r="V105" s="8"/>
      <c r="W105" s="8"/>
      <c r="X105" s="8"/>
      <c r="Y105" s="8"/>
      <c r="Z105" s="8"/>
      <c r="AA105" s="8"/>
      <c r="AB105" s="8"/>
      <c r="AC105" s="8"/>
      <c r="AD105" s="78"/>
      <c r="AE105" s="78"/>
      <c r="AF105" s="78">
        <v>560</v>
      </c>
      <c r="AG105" s="78"/>
      <c r="AH105" s="78"/>
      <c r="AI105" s="78"/>
      <c r="AJ105" s="8"/>
      <c r="AK105" s="78"/>
      <c r="AL105" s="78"/>
      <c r="AM105" s="78"/>
      <c r="AN105" s="78"/>
    </row>
    <row r="106" s="1" customFormat="1" ht="24" outlineLevel="1" spans="1:40">
      <c r="A106" s="113"/>
      <c r="B106" s="114"/>
      <c r="C106" s="115"/>
      <c r="D106" s="16">
        <f t="shared" si="37"/>
        <v>197.53</v>
      </c>
      <c r="E106" s="16">
        <f t="shared" si="38"/>
        <v>197.53</v>
      </c>
      <c r="F106" s="17"/>
      <c r="G106" s="17"/>
      <c r="H106" s="17"/>
      <c r="I106" s="17"/>
      <c r="J106" s="17"/>
      <c r="K106" s="62" t="s">
        <v>112</v>
      </c>
      <c r="L106" s="9">
        <f>21.46+30.11+20.67+18.55+8.9+11.37+11.73+9.69+2.75+2.75+20.37+18.55+8.9+11.73</f>
        <v>197.53</v>
      </c>
      <c r="M106" s="9">
        <f>21.46+30.11+20.67+18.55+8.9+11.37+11.73+9.69+2.75+2.75+20.37+18.55+8.9+11.73</f>
        <v>197.53</v>
      </c>
      <c r="N106" s="8"/>
      <c r="O106" s="9"/>
      <c r="P106" s="9"/>
      <c r="Q106" s="8"/>
      <c r="R106" s="8"/>
      <c r="S106" s="8"/>
      <c r="T106" s="7"/>
      <c r="U106" s="8"/>
      <c r="V106" s="8"/>
      <c r="W106" s="8"/>
      <c r="X106" s="8"/>
      <c r="Y106" s="8"/>
      <c r="Z106" s="8"/>
      <c r="AA106" s="8"/>
      <c r="AB106" s="8"/>
      <c r="AC106" s="8"/>
      <c r="AD106" s="78"/>
      <c r="AE106" s="78"/>
      <c r="AF106" s="78">
        <v>560</v>
      </c>
      <c r="AG106" s="78"/>
      <c r="AH106" s="78"/>
      <c r="AI106" s="78"/>
      <c r="AJ106" s="8"/>
      <c r="AK106" s="78"/>
      <c r="AL106" s="78"/>
      <c r="AM106" s="78"/>
      <c r="AN106" s="78"/>
    </row>
    <row r="107" s="1" customFormat="1" outlineLevel="1" spans="1:40">
      <c r="A107" s="113"/>
      <c r="B107" s="114"/>
      <c r="C107" s="115"/>
      <c r="D107" s="16">
        <f t="shared" si="37"/>
        <v>0.22</v>
      </c>
      <c r="E107" s="16">
        <f t="shared" si="38"/>
        <v>0.22</v>
      </c>
      <c r="F107" s="17"/>
      <c r="G107" s="17"/>
      <c r="H107" s="17"/>
      <c r="I107" s="17"/>
      <c r="J107" s="17"/>
      <c r="K107" s="7" t="s">
        <v>113</v>
      </c>
      <c r="L107" s="9">
        <v>0.22</v>
      </c>
      <c r="M107" s="9">
        <v>0.22</v>
      </c>
      <c r="N107" s="8"/>
      <c r="O107" s="9"/>
      <c r="P107" s="9"/>
      <c r="Q107" s="8"/>
      <c r="R107" s="8"/>
      <c r="S107" s="8"/>
      <c r="T107" s="7"/>
      <c r="U107" s="8"/>
      <c r="V107" s="8"/>
      <c r="W107" s="8"/>
      <c r="X107" s="8"/>
      <c r="Y107" s="8"/>
      <c r="Z107" s="8"/>
      <c r="AA107" s="8"/>
      <c r="AB107" s="8"/>
      <c r="AC107" s="8"/>
      <c r="AD107" s="78"/>
      <c r="AE107" s="78"/>
      <c r="AF107" s="78">
        <v>560</v>
      </c>
      <c r="AG107" s="78"/>
      <c r="AH107" s="78"/>
      <c r="AI107" s="78"/>
      <c r="AJ107" s="8"/>
      <c r="AK107" s="78"/>
      <c r="AL107" s="78"/>
      <c r="AM107" s="78"/>
      <c r="AN107" s="78"/>
    </row>
    <row r="108" s="1" customFormat="1" outlineLevel="1" spans="1:40">
      <c r="A108" s="113"/>
      <c r="B108" s="114"/>
      <c r="C108" s="115"/>
      <c r="D108" s="16">
        <f t="shared" si="37"/>
        <v>6.87</v>
      </c>
      <c r="E108" s="16">
        <f t="shared" si="38"/>
        <v>7</v>
      </c>
      <c r="F108" s="17"/>
      <c r="G108" s="17"/>
      <c r="H108" s="17"/>
      <c r="I108" s="17"/>
      <c r="J108" s="17"/>
      <c r="K108" s="7" t="s">
        <v>114</v>
      </c>
      <c r="L108" s="9">
        <v>6.87</v>
      </c>
      <c r="M108" s="9">
        <v>7</v>
      </c>
      <c r="N108" s="8"/>
      <c r="O108" s="9"/>
      <c r="P108" s="9"/>
      <c r="Q108" s="8"/>
      <c r="R108" s="8"/>
      <c r="S108" s="8"/>
      <c r="T108" s="7"/>
      <c r="U108" s="8"/>
      <c r="V108" s="8"/>
      <c r="W108" s="8"/>
      <c r="X108" s="8"/>
      <c r="Y108" s="8"/>
      <c r="Z108" s="8"/>
      <c r="AA108" s="8"/>
      <c r="AB108" s="8"/>
      <c r="AC108" s="8"/>
      <c r="AD108" s="78"/>
      <c r="AE108" s="78"/>
      <c r="AF108" s="78">
        <v>560</v>
      </c>
      <c r="AG108" s="78"/>
      <c r="AH108" s="78"/>
      <c r="AI108" s="78"/>
      <c r="AJ108" s="8"/>
      <c r="AK108" s="78"/>
      <c r="AL108" s="78"/>
      <c r="AM108" s="78"/>
      <c r="AN108" s="78"/>
    </row>
    <row r="109" s="1" customFormat="1" outlineLevel="1" spans="1:40">
      <c r="A109" s="113"/>
      <c r="B109" s="114"/>
      <c r="C109" s="115"/>
      <c r="D109" s="16">
        <f t="shared" si="37"/>
        <v>0.58</v>
      </c>
      <c r="E109" s="16">
        <f t="shared" si="38"/>
        <v>0.59</v>
      </c>
      <c r="F109" s="17"/>
      <c r="G109" s="17"/>
      <c r="H109" s="17"/>
      <c r="I109" s="17"/>
      <c r="J109" s="17"/>
      <c r="K109" s="7" t="s">
        <v>115</v>
      </c>
      <c r="L109" s="9">
        <v>0.58</v>
      </c>
      <c r="M109" s="9">
        <v>0.59</v>
      </c>
      <c r="N109" s="8"/>
      <c r="O109" s="9"/>
      <c r="P109" s="9"/>
      <c r="Q109" s="8"/>
      <c r="R109" s="8"/>
      <c r="S109" s="8"/>
      <c r="T109" s="7"/>
      <c r="U109" s="8"/>
      <c r="V109" s="8"/>
      <c r="W109" s="8"/>
      <c r="X109" s="8"/>
      <c r="Y109" s="8"/>
      <c r="Z109" s="8"/>
      <c r="AA109" s="8"/>
      <c r="AB109" s="8"/>
      <c r="AC109" s="8"/>
      <c r="AD109" s="78"/>
      <c r="AE109" s="78"/>
      <c r="AF109" s="78">
        <v>560</v>
      </c>
      <c r="AG109" s="78"/>
      <c r="AH109" s="78"/>
      <c r="AI109" s="78"/>
      <c r="AJ109" s="8"/>
      <c r="AK109" s="78"/>
      <c r="AL109" s="78"/>
      <c r="AM109" s="78"/>
      <c r="AN109" s="78"/>
    </row>
    <row r="110" s="1" customFormat="1" outlineLevel="1" spans="1:40">
      <c r="A110" s="113"/>
      <c r="B110" s="114"/>
      <c r="C110" s="115"/>
      <c r="D110" s="16">
        <f t="shared" si="37"/>
        <v>49.39</v>
      </c>
      <c r="E110" s="16">
        <f t="shared" si="38"/>
        <v>50.45</v>
      </c>
      <c r="F110" s="17"/>
      <c r="G110" s="17"/>
      <c r="H110" s="17"/>
      <c r="I110" s="17"/>
      <c r="J110" s="17" t="s">
        <v>39</v>
      </c>
      <c r="K110" s="21" t="s">
        <v>49</v>
      </c>
      <c r="L110" s="9"/>
      <c r="M110" s="9"/>
      <c r="N110" s="21" t="s">
        <v>49</v>
      </c>
      <c r="O110" s="9">
        <f>47.65+1.74</f>
        <v>49.39</v>
      </c>
      <c r="P110" s="9">
        <f>48.61+1.84</f>
        <v>50.45</v>
      </c>
      <c r="Q110" s="8"/>
      <c r="R110" s="8"/>
      <c r="S110" s="8"/>
      <c r="T110" s="7"/>
      <c r="U110" s="8"/>
      <c r="V110" s="8"/>
      <c r="W110" s="8"/>
      <c r="X110" s="8"/>
      <c r="Y110" s="8"/>
      <c r="Z110" s="8"/>
      <c r="AA110" s="8"/>
      <c r="AB110" s="8"/>
      <c r="AC110" s="8"/>
      <c r="AD110" s="78"/>
      <c r="AE110" s="78"/>
      <c r="AF110" s="78">
        <v>560</v>
      </c>
      <c r="AG110" s="78"/>
      <c r="AH110" s="78"/>
      <c r="AI110" s="78"/>
      <c r="AJ110" s="8"/>
      <c r="AK110" s="78"/>
      <c r="AL110" s="78"/>
      <c r="AM110" s="78"/>
      <c r="AN110" s="78"/>
    </row>
    <row r="111" s="1" customFormat="1" outlineLevel="1" spans="1:40">
      <c r="A111" s="113"/>
      <c r="B111" s="114"/>
      <c r="C111" s="115"/>
      <c r="D111" s="16">
        <f t="shared" si="37"/>
        <v>0.98</v>
      </c>
      <c r="E111" s="16">
        <f t="shared" si="38"/>
        <v>1.04</v>
      </c>
      <c r="F111" s="17"/>
      <c r="G111" s="17"/>
      <c r="H111" s="17"/>
      <c r="I111" s="17"/>
      <c r="J111" s="17"/>
      <c r="K111" s="21" t="s">
        <v>50</v>
      </c>
      <c r="L111" s="9"/>
      <c r="M111" s="9"/>
      <c r="N111" s="21" t="s">
        <v>50</v>
      </c>
      <c r="O111" s="9">
        <v>0.98</v>
      </c>
      <c r="P111" s="9">
        <v>1.04</v>
      </c>
      <c r="Q111" s="8"/>
      <c r="R111" s="8"/>
      <c r="S111" s="8"/>
      <c r="T111" s="7"/>
      <c r="U111" s="8"/>
      <c r="V111" s="8"/>
      <c r="W111" s="8"/>
      <c r="X111" s="8"/>
      <c r="Y111" s="8"/>
      <c r="Z111" s="8"/>
      <c r="AA111" s="8"/>
      <c r="AB111" s="8"/>
      <c r="AC111" s="8"/>
      <c r="AD111" s="78"/>
      <c r="AE111" s="78"/>
      <c r="AF111" s="78">
        <v>560</v>
      </c>
      <c r="AG111" s="78"/>
      <c r="AH111" s="78"/>
      <c r="AI111" s="78"/>
      <c r="AJ111" s="8"/>
      <c r="AK111" s="78"/>
      <c r="AL111" s="78"/>
      <c r="AM111" s="78"/>
      <c r="AN111" s="78"/>
    </row>
    <row r="112" s="1" customFormat="1" outlineLevel="1" spans="1:40">
      <c r="A112" s="113"/>
      <c r="B112" s="114"/>
      <c r="C112" s="115"/>
      <c r="D112" s="16">
        <f t="shared" si="37"/>
        <v>2.58</v>
      </c>
      <c r="E112" s="16">
        <f t="shared" si="38"/>
        <v>2.73</v>
      </c>
      <c r="F112" s="17"/>
      <c r="G112" s="17"/>
      <c r="H112" s="17"/>
      <c r="I112" s="17"/>
      <c r="J112" s="17"/>
      <c r="K112" s="21" t="s">
        <v>106</v>
      </c>
      <c r="L112" s="9"/>
      <c r="M112" s="9"/>
      <c r="N112" s="21" t="s">
        <v>106</v>
      </c>
      <c r="O112" s="9">
        <v>2.58</v>
      </c>
      <c r="P112" s="9">
        <v>2.73</v>
      </c>
      <c r="Q112" s="8"/>
      <c r="R112" s="8"/>
      <c r="S112" s="8"/>
      <c r="T112" s="7"/>
      <c r="U112" s="8"/>
      <c r="V112" s="8"/>
      <c r="W112" s="8"/>
      <c r="X112" s="8"/>
      <c r="Y112" s="8"/>
      <c r="Z112" s="8"/>
      <c r="AA112" s="8"/>
      <c r="AB112" s="8"/>
      <c r="AC112" s="8"/>
      <c r="AD112" s="78"/>
      <c r="AE112" s="78"/>
      <c r="AF112" s="78">
        <v>560</v>
      </c>
      <c r="AG112" s="78"/>
      <c r="AH112" s="78"/>
      <c r="AI112" s="78"/>
      <c r="AJ112" s="8"/>
      <c r="AK112" s="78"/>
      <c r="AL112" s="78"/>
      <c r="AM112" s="78"/>
      <c r="AN112" s="78"/>
    </row>
    <row r="113" s="1" customFormat="1" outlineLevel="1" spans="1:40">
      <c r="A113" s="113"/>
      <c r="B113" s="114"/>
      <c r="C113" s="115"/>
      <c r="D113" s="16">
        <f t="shared" si="37"/>
        <v>1.79</v>
      </c>
      <c r="E113" s="16">
        <f t="shared" si="38"/>
        <v>1.9</v>
      </c>
      <c r="F113" s="17"/>
      <c r="G113" s="17"/>
      <c r="H113" s="17"/>
      <c r="I113" s="17"/>
      <c r="J113" s="17"/>
      <c r="K113" s="21" t="s">
        <v>116</v>
      </c>
      <c r="L113" s="9"/>
      <c r="M113" s="9"/>
      <c r="N113" s="21" t="s">
        <v>116</v>
      </c>
      <c r="O113" s="9">
        <v>1.79</v>
      </c>
      <c r="P113" s="9">
        <v>1.9</v>
      </c>
      <c r="Q113" s="8"/>
      <c r="R113" s="8"/>
      <c r="S113" s="8"/>
      <c r="T113" s="7"/>
      <c r="U113" s="8"/>
      <c r="V113" s="8"/>
      <c r="W113" s="8"/>
      <c r="X113" s="8"/>
      <c r="Y113" s="8"/>
      <c r="Z113" s="8"/>
      <c r="AA113" s="8"/>
      <c r="AB113" s="8"/>
      <c r="AC113" s="8"/>
      <c r="AD113" s="78"/>
      <c r="AE113" s="78"/>
      <c r="AF113" s="78">
        <v>560</v>
      </c>
      <c r="AG113" s="78"/>
      <c r="AH113" s="78"/>
      <c r="AI113" s="78"/>
      <c r="AJ113" s="8"/>
      <c r="AK113" s="78"/>
      <c r="AL113" s="78"/>
      <c r="AM113" s="78"/>
      <c r="AN113" s="78"/>
    </row>
    <row r="114" s="1" customFormat="1" outlineLevel="1" spans="1:40">
      <c r="A114" s="107"/>
      <c r="B114" s="116"/>
      <c r="C114" s="108"/>
      <c r="D114" s="16">
        <f t="shared" si="37"/>
        <v>4.26</v>
      </c>
      <c r="E114" s="16">
        <f t="shared" si="38"/>
        <v>4.35</v>
      </c>
      <c r="F114" s="17"/>
      <c r="G114" s="17"/>
      <c r="H114" s="17"/>
      <c r="I114" s="17"/>
      <c r="J114" s="17"/>
      <c r="K114" s="21" t="s">
        <v>117</v>
      </c>
      <c r="L114" s="9"/>
      <c r="M114" s="9"/>
      <c r="N114" s="21" t="s">
        <v>117</v>
      </c>
      <c r="O114" s="9">
        <v>4.26</v>
      </c>
      <c r="P114" s="9">
        <v>4.35</v>
      </c>
      <c r="Q114" s="8"/>
      <c r="R114" s="8"/>
      <c r="S114" s="8"/>
      <c r="T114" s="7"/>
      <c r="U114" s="8"/>
      <c r="V114" s="8"/>
      <c r="W114" s="8"/>
      <c r="X114" s="8"/>
      <c r="Y114" s="8"/>
      <c r="Z114" s="8"/>
      <c r="AA114" s="8"/>
      <c r="AB114" s="8"/>
      <c r="AC114" s="8"/>
      <c r="AD114" s="79"/>
      <c r="AE114" s="79"/>
      <c r="AF114" s="79">
        <v>560</v>
      </c>
      <c r="AG114" s="79"/>
      <c r="AH114" s="79"/>
      <c r="AI114" s="79"/>
      <c r="AJ114" s="8"/>
      <c r="AK114" s="79"/>
      <c r="AL114" s="79"/>
      <c r="AM114" s="79"/>
      <c r="AN114" s="79"/>
    </row>
    <row r="115" s="1" customFormat="1" outlineLevel="1" spans="1:42">
      <c r="A115" s="77" t="s">
        <v>57</v>
      </c>
      <c r="B115" s="117" t="s">
        <v>29</v>
      </c>
      <c r="C115" s="77" t="s">
        <v>30</v>
      </c>
      <c r="D115" s="16">
        <f t="shared" si="37"/>
        <v>1.45</v>
      </c>
      <c r="E115" s="16">
        <f t="shared" si="38"/>
        <v>1.54</v>
      </c>
      <c r="F115" s="17">
        <f>SUM(E115:E117)</f>
        <v>2.97</v>
      </c>
      <c r="G115" s="17">
        <f>SUM(F115:F117)</f>
        <v>2.97</v>
      </c>
      <c r="H115" s="17">
        <v>500</v>
      </c>
      <c r="I115" s="17">
        <f>G115*H115</f>
        <v>1485</v>
      </c>
      <c r="J115" s="17" t="s">
        <v>31</v>
      </c>
      <c r="K115" s="7" t="s">
        <v>115</v>
      </c>
      <c r="L115" s="9">
        <v>1.45</v>
      </c>
      <c r="M115" s="9">
        <v>1.54</v>
      </c>
      <c r="N115" s="8"/>
      <c r="O115" s="9"/>
      <c r="P115" s="9"/>
      <c r="Q115" s="8"/>
      <c r="R115" s="8"/>
      <c r="S115" s="8">
        <v>550</v>
      </c>
      <c r="T115" s="7" t="s">
        <v>58</v>
      </c>
      <c r="U115" s="8"/>
      <c r="V115" s="8"/>
      <c r="W115" s="8"/>
      <c r="X115" s="8"/>
      <c r="Y115" s="8"/>
      <c r="Z115" s="8"/>
      <c r="AA115" s="8"/>
      <c r="AB115" s="8"/>
      <c r="AC115" s="8"/>
      <c r="AD115" s="77">
        <v>455</v>
      </c>
      <c r="AE115" s="77">
        <f>AD115*$F$115</f>
        <v>1351.35</v>
      </c>
      <c r="AF115" s="77">
        <v>560</v>
      </c>
      <c r="AG115" s="77">
        <f t="shared" ref="AE115:AI115" si="40">AF115*$F$115</f>
        <v>1663.2</v>
      </c>
      <c r="AH115" s="77">
        <v>630</v>
      </c>
      <c r="AI115" s="77">
        <f t="shared" si="40"/>
        <v>1871.1</v>
      </c>
      <c r="AJ115" s="8"/>
      <c r="AK115" s="77">
        <v>569.52</v>
      </c>
      <c r="AL115" s="77">
        <f>AK115*$F$115</f>
        <v>1691.4744</v>
      </c>
      <c r="AM115" s="77">
        <v>740</v>
      </c>
      <c r="AN115" s="77">
        <f>AM115*$F$115</f>
        <v>2197.8</v>
      </c>
      <c r="AO115" s="1">
        <v>1351.35</v>
      </c>
      <c r="AP115" s="1">
        <f>AO115-AE115</f>
        <v>0</v>
      </c>
    </row>
    <row r="116" s="1" customFormat="1" outlineLevel="1" spans="1:40">
      <c r="A116" s="78"/>
      <c r="B116" s="118"/>
      <c r="C116" s="78"/>
      <c r="D116" s="16">
        <f t="shared" si="37"/>
        <v>0.24</v>
      </c>
      <c r="E116" s="16">
        <f t="shared" si="38"/>
        <v>0.24</v>
      </c>
      <c r="F116" s="17"/>
      <c r="G116" s="17"/>
      <c r="H116" s="17"/>
      <c r="I116" s="17"/>
      <c r="J116" s="16"/>
      <c r="K116" s="21" t="s">
        <v>106</v>
      </c>
      <c r="L116" s="9"/>
      <c r="M116" s="9"/>
      <c r="N116" s="21" t="s">
        <v>106</v>
      </c>
      <c r="O116" s="9">
        <v>0.24</v>
      </c>
      <c r="P116" s="9">
        <v>0.24</v>
      </c>
      <c r="Q116" s="8"/>
      <c r="R116" s="8"/>
      <c r="S116" s="8"/>
      <c r="T116" s="7"/>
      <c r="U116" s="8"/>
      <c r="V116" s="8"/>
      <c r="W116" s="8"/>
      <c r="X116" s="8"/>
      <c r="Y116" s="8"/>
      <c r="Z116" s="8"/>
      <c r="AA116" s="8"/>
      <c r="AB116" s="8"/>
      <c r="AC116" s="8"/>
      <c r="AD116" s="78"/>
      <c r="AE116" s="78"/>
      <c r="AF116" s="78">
        <v>560</v>
      </c>
      <c r="AG116" s="78"/>
      <c r="AH116" s="78"/>
      <c r="AI116" s="78"/>
      <c r="AJ116" s="8"/>
      <c r="AK116" s="78"/>
      <c r="AL116" s="78"/>
      <c r="AM116" s="78"/>
      <c r="AN116" s="78"/>
    </row>
    <row r="117" s="1" customFormat="1" outlineLevel="1" spans="1:40">
      <c r="A117" s="79"/>
      <c r="B117" s="119"/>
      <c r="C117" s="79"/>
      <c r="D117" s="16">
        <f t="shared" si="37"/>
        <v>1.12</v>
      </c>
      <c r="E117" s="16">
        <f t="shared" si="38"/>
        <v>1.19</v>
      </c>
      <c r="F117" s="17"/>
      <c r="G117" s="17"/>
      <c r="H117" s="17"/>
      <c r="I117" s="17"/>
      <c r="J117" s="16" t="s">
        <v>39</v>
      </c>
      <c r="K117" s="21" t="s">
        <v>118</v>
      </c>
      <c r="L117" s="9"/>
      <c r="M117" s="9"/>
      <c r="N117" s="21" t="s">
        <v>118</v>
      </c>
      <c r="O117" s="9">
        <v>1.12</v>
      </c>
      <c r="P117" s="9">
        <v>1.19</v>
      </c>
      <c r="Q117" s="8"/>
      <c r="R117" s="8"/>
      <c r="S117" s="8"/>
      <c r="T117" s="7"/>
      <c r="U117" s="8"/>
      <c r="V117" s="8"/>
      <c r="W117" s="8"/>
      <c r="X117" s="8"/>
      <c r="Y117" s="8"/>
      <c r="Z117" s="8"/>
      <c r="AA117" s="8"/>
      <c r="AB117" s="8"/>
      <c r="AC117" s="8"/>
      <c r="AD117" s="79"/>
      <c r="AE117" s="79"/>
      <c r="AF117" s="79">
        <v>560</v>
      </c>
      <c r="AG117" s="79"/>
      <c r="AH117" s="79"/>
      <c r="AI117" s="79"/>
      <c r="AJ117" s="8"/>
      <c r="AK117" s="79"/>
      <c r="AL117" s="79"/>
      <c r="AM117" s="79"/>
      <c r="AN117" s="79"/>
    </row>
    <row r="118" s="1" customFormat="1" outlineLevel="1" spans="1:42">
      <c r="A118" s="105" t="s">
        <v>119</v>
      </c>
      <c r="B118" s="120" t="s">
        <v>66</v>
      </c>
      <c r="C118" s="120" t="s">
        <v>30</v>
      </c>
      <c r="D118" s="16">
        <f t="shared" si="37"/>
        <v>3.79</v>
      </c>
      <c r="E118" s="16">
        <f t="shared" si="38"/>
        <v>3.79</v>
      </c>
      <c r="F118" s="17">
        <f>SUM(D118:D123)</f>
        <v>1483.61</v>
      </c>
      <c r="G118" s="17">
        <f>SUM(E118:E123)</f>
        <v>1492.33</v>
      </c>
      <c r="H118" s="17">
        <v>780</v>
      </c>
      <c r="I118" s="17">
        <f>H118*G118</f>
        <v>1164017.4</v>
      </c>
      <c r="J118" s="17" t="s">
        <v>31</v>
      </c>
      <c r="K118" s="7" t="s">
        <v>120</v>
      </c>
      <c r="L118" s="9">
        <v>3.79</v>
      </c>
      <c r="M118" s="9">
        <v>3.79</v>
      </c>
      <c r="N118" s="21"/>
      <c r="O118" s="9"/>
      <c r="P118" s="9"/>
      <c r="Q118" s="8"/>
      <c r="R118" s="8"/>
      <c r="S118" s="8">
        <v>780</v>
      </c>
      <c r="T118" s="7" t="s">
        <v>64</v>
      </c>
      <c r="U118" s="8"/>
      <c r="V118" s="8"/>
      <c r="W118" s="8"/>
      <c r="X118" s="8"/>
      <c r="Y118" s="8"/>
      <c r="Z118" s="8"/>
      <c r="AA118" s="8"/>
      <c r="AB118" s="8"/>
      <c r="AC118" s="8"/>
      <c r="AD118" s="120">
        <v>540</v>
      </c>
      <c r="AE118" s="120">
        <f>F118*AD118</f>
        <v>801149.4</v>
      </c>
      <c r="AF118" s="120">
        <v>650</v>
      </c>
      <c r="AG118" s="120">
        <f t="shared" ref="AE118:AI118" si="41">AF118*$F$118</f>
        <v>964346.5</v>
      </c>
      <c r="AH118" s="120">
        <v>560</v>
      </c>
      <c r="AI118" s="120">
        <f t="shared" si="41"/>
        <v>830821.6</v>
      </c>
      <c r="AJ118" s="8"/>
      <c r="AK118" s="120">
        <v>1118.28</v>
      </c>
      <c r="AL118" s="120">
        <f>AK118*$F$118</f>
        <v>1659091.3908</v>
      </c>
      <c r="AM118" s="120">
        <v>740</v>
      </c>
      <c r="AN118" s="120">
        <f>AM118*$F$118</f>
        <v>1097871.4</v>
      </c>
      <c r="AO118" s="1">
        <v>801149.4</v>
      </c>
      <c r="AP118" s="1">
        <f>AO118-AE118</f>
        <v>0</v>
      </c>
    </row>
    <row r="119" s="1" customFormat="1" outlineLevel="1" spans="1:40">
      <c r="A119" s="113"/>
      <c r="B119" s="121"/>
      <c r="C119" s="121"/>
      <c r="D119" s="16">
        <f>L119+O119+13.2</f>
        <v>985.98</v>
      </c>
      <c r="E119" s="16">
        <f t="shared" si="38"/>
        <v>987.38</v>
      </c>
      <c r="F119" s="17"/>
      <c r="G119" s="17"/>
      <c r="H119" s="17"/>
      <c r="I119" s="17"/>
      <c r="J119" s="17" t="s">
        <v>39</v>
      </c>
      <c r="K119" s="21" t="s">
        <v>49</v>
      </c>
      <c r="L119" s="9"/>
      <c r="M119" s="9"/>
      <c r="N119" s="21" t="s">
        <v>49</v>
      </c>
      <c r="O119" s="9">
        <f>951.11+21.67</f>
        <v>972.78</v>
      </c>
      <c r="P119" s="9">
        <f>965.38+22</f>
        <v>987.38</v>
      </c>
      <c r="Q119" s="8"/>
      <c r="R119" s="8"/>
      <c r="S119" s="8"/>
      <c r="T119" s="7"/>
      <c r="U119" s="8"/>
      <c r="V119" s="8"/>
      <c r="W119" s="8"/>
      <c r="X119" s="8"/>
      <c r="Y119" s="8"/>
      <c r="Z119" s="8"/>
      <c r="AA119" s="8"/>
      <c r="AB119" s="8"/>
      <c r="AC119" s="8"/>
      <c r="AD119" s="121">
        <v>540</v>
      </c>
      <c r="AE119" s="121"/>
      <c r="AF119" s="121">
        <v>650</v>
      </c>
      <c r="AG119" s="121"/>
      <c r="AH119" s="121"/>
      <c r="AI119" s="121"/>
      <c r="AJ119" s="8"/>
      <c r="AK119" s="121"/>
      <c r="AL119" s="121"/>
      <c r="AM119" s="121"/>
      <c r="AN119" s="121"/>
    </row>
    <row r="120" s="1" customFormat="1" outlineLevel="1" spans="1:40">
      <c r="A120" s="113"/>
      <c r="B120" s="121"/>
      <c r="C120" s="121"/>
      <c r="D120" s="16">
        <f>L120+O120</f>
        <v>37.4</v>
      </c>
      <c r="E120" s="16">
        <f t="shared" si="38"/>
        <v>37.74</v>
      </c>
      <c r="F120" s="17"/>
      <c r="G120" s="17"/>
      <c r="H120" s="17"/>
      <c r="I120" s="17"/>
      <c r="J120" s="17"/>
      <c r="K120" s="21" t="s">
        <v>121</v>
      </c>
      <c r="L120" s="9"/>
      <c r="M120" s="9"/>
      <c r="N120" s="21" t="s">
        <v>121</v>
      </c>
      <c r="O120" s="9">
        <f>22.62+14.78</f>
        <v>37.4</v>
      </c>
      <c r="P120" s="9">
        <f>22.96+14.78</f>
        <v>37.74</v>
      </c>
      <c r="Q120" s="8"/>
      <c r="R120" s="8"/>
      <c r="S120" s="8"/>
      <c r="T120" s="7"/>
      <c r="U120" s="8"/>
      <c r="V120" s="8"/>
      <c r="W120" s="8"/>
      <c r="X120" s="8"/>
      <c r="Y120" s="8"/>
      <c r="Z120" s="8"/>
      <c r="AA120" s="8"/>
      <c r="AB120" s="8"/>
      <c r="AC120" s="8"/>
      <c r="AD120" s="121">
        <v>540</v>
      </c>
      <c r="AE120" s="121"/>
      <c r="AF120" s="121">
        <v>650</v>
      </c>
      <c r="AG120" s="121"/>
      <c r="AH120" s="121"/>
      <c r="AI120" s="121"/>
      <c r="AJ120" s="8"/>
      <c r="AK120" s="121"/>
      <c r="AL120" s="121"/>
      <c r="AM120" s="121"/>
      <c r="AN120" s="121"/>
    </row>
    <row r="121" s="1" customFormat="1" outlineLevel="1" spans="1:40">
      <c r="A121" s="113"/>
      <c r="B121" s="121"/>
      <c r="C121" s="121"/>
      <c r="D121" s="16">
        <f>L121+O121</f>
        <v>2.98</v>
      </c>
      <c r="E121" s="16">
        <f t="shared" si="38"/>
        <v>3.16</v>
      </c>
      <c r="F121" s="17"/>
      <c r="G121" s="17"/>
      <c r="H121" s="17"/>
      <c r="I121" s="17"/>
      <c r="J121" s="17"/>
      <c r="K121" s="21" t="s">
        <v>122</v>
      </c>
      <c r="L121" s="9"/>
      <c r="M121" s="9"/>
      <c r="N121" s="21" t="s">
        <v>122</v>
      </c>
      <c r="O121" s="9">
        <v>2.98</v>
      </c>
      <c r="P121" s="9">
        <v>3.16</v>
      </c>
      <c r="Q121" s="8"/>
      <c r="R121" s="8"/>
      <c r="S121" s="8"/>
      <c r="T121" s="7"/>
      <c r="U121" s="8"/>
      <c r="V121" s="8"/>
      <c r="W121" s="8"/>
      <c r="X121" s="8"/>
      <c r="Y121" s="8"/>
      <c r="Z121" s="8"/>
      <c r="AA121" s="8"/>
      <c r="AB121" s="8"/>
      <c r="AC121" s="8"/>
      <c r="AD121" s="121">
        <v>540</v>
      </c>
      <c r="AE121" s="121"/>
      <c r="AF121" s="121">
        <v>650</v>
      </c>
      <c r="AG121" s="121"/>
      <c r="AH121" s="121"/>
      <c r="AI121" s="121"/>
      <c r="AJ121" s="8"/>
      <c r="AK121" s="121"/>
      <c r="AL121" s="121"/>
      <c r="AM121" s="121"/>
      <c r="AN121" s="121"/>
    </row>
    <row r="122" s="1" customFormat="1" outlineLevel="1" spans="1:40">
      <c r="A122" s="113"/>
      <c r="B122" s="121"/>
      <c r="C122" s="121"/>
      <c r="D122" s="16">
        <f t="shared" ref="D122:D143" si="42">L122+O122</f>
        <v>241.9</v>
      </c>
      <c r="E122" s="16">
        <f t="shared" ref="E122:E143" si="43">M122+P122</f>
        <v>245.53</v>
      </c>
      <c r="F122" s="17"/>
      <c r="G122" s="17"/>
      <c r="H122" s="17"/>
      <c r="I122" s="17"/>
      <c r="J122" s="17"/>
      <c r="K122" s="21" t="s">
        <v>50</v>
      </c>
      <c r="L122" s="9"/>
      <c r="M122" s="9"/>
      <c r="N122" s="21" t="s">
        <v>50</v>
      </c>
      <c r="O122" s="9">
        <v>241.9</v>
      </c>
      <c r="P122" s="9">
        <v>245.53</v>
      </c>
      <c r="Q122" s="8"/>
      <c r="R122" s="8"/>
      <c r="S122" s="8"/>
      <c r="T122" s="7"/>
      <c r="U122" s="8"/>
      <c r="V122" s="8"/>
      <c r="W122" s="8"/>
      <c r="X122" s="8"/>
      <c r="Y122" s="8"/>
      <c r="Z122" s="8"/>
      <c r="AA122" s="8"/>
      <c r="AB122" s="8"/>
      <c r="AC122" s="8"/>
      <c r="AD122" s="121">
        <v>540</v>
      </c>
      <c r="AE122" s="121"/>
      <c r="AF122" s="121">
        <v>650</v>
      </c>
      <c r="AG122" s="121"/>
      <c r="AH122" s="121"/>
      <c r="AI122" s="121"/>
      <c r="AJ122" s="8"/>
      <c r="AK122" s="121"/>
      <c r="AL122" s="121"/>
      <c r="AM122" s="121"/>
      <c r="AN122" s="121"/>
    </row>
    <row r="123" s="1" customFormat="1" outlineLevel="1" spans="1:40">
      <c r="A123" s="107"/>
      <c r="B123" s="122"/>
      <c r="C123" s="122"/>
      <c r="D123" s="16">
        <f t="shared" si="42"/>
        <v>211.56</v>
      </c>
      <c r="E123" s="16">
        <f t="shared" si="43"/>
        <v>214.73</v>
      </c>
      <c r="F123" s="17"/>
      <c r="G123" s="17"/>
      <c r="H123" s="17"/>
      <c r="I123" s="17"/>
      <c r="J123" s="17"/>
      <c r="K123" s="7" t="s">
        <v>118</v>
      </c>
      <c r="L123" s="9"/>
      <c r="M123" s="9"/>
      <c r="N123" s="7" t="s">
        <v>118</v>
      </c>
      <c r="O123" s="9">
        <v>211.56</v>
      </c>
      <c r="P123" s="9">
        <v>214.73</v>
      </c>
      <c r="Q123" s="8"/>
      <c r="R123" s="8"/>
      <c r="S123" s="8"/>
      <c r="T123" s="7"/>
      <c r="U123" s="8"/>
      <c r="V123" s="8"/>
      <c r="W123" s="8"/>
      <c r="X123" s="8"/>
      <c r="Y123" s="8"/>
      <c r="Z123" s="8"/>
      <c r="AA123" s="8"/>
      <c r="AB123" s="8"/>
      <c r="AC123" s="8"/>
      <c r="AD123" s="122">
        <v>540</v>
      </c>
      <c r="AE123" s="122"/>
      <c r="AF123" s="122">
        <v>650</v>
      </c>
      <c r="AG123" s="122"/>
      <c r="AH123" s="122"/>
      <c r="AI123" s="122"/>
      <c r="AJ123" s="8"/>
      <c r="AK123" s="122"/>
      <c r="AL123" s="122"/>
      <c r="AM123" s="122"/>
      <c r="AN123" s="122"/>
    </row>
    <row r="124" s="1" customFormat="1" ht="24" outlineLevel="1" spans="1:42">
      <c r="A124" s="99" t="s">
        <v>123</v>
      </c>
      <c r="B124" s="103" t="s">
        <v>66</v>
      </c>
      <c r="C124" s="101" t="s">
        <v>30</v>
      </c>
      <c r="D124" s="16">
        <f t="shared" si="42"/>
        <v>312.41</v>
      </c>
      <c r="E124" s="16">
        <f t="shared" si="43"/>
        <v>301.6</v>
      </c>
      <c r="F124" s="17">
        <f>SUM(D124:D124)</f>
        <v>312.41</v>
      </c>
      <c r="G124" s="17">
        <f>SUM(F124:F124)</f>
        <v>312.41</v>
      </c>
      <c r="H124" s="17">
        <v>780</v>
      </c>
      <c r="I124" s="17">
        <f>H124*G124</f>
        <v>243679.8</v>
      </c>
      <c r="J124" s="17" t="s">
        <v>39</v>
      </c>
      <c r="K124" s="21" t="s">
        <v>49</v>
      </c>
      <c r="L124" s="9"/>
      <c r="M124" s="9"/>
      <c r="N124" s="21" t="s">
        <v>49</v>
      </c>
      <c r="O124" s="9">
        <f>68.04+147.42+25.76+34.47+14.5+22.22</f>
        <v>312.41</v>
      </c>
      <c r="P124" s="9">
        <f>69.1+129.74+27.3+36.54+15.37+23.55</f>
        <v>301.6</v>
      </c>
      <c r="Q124" s="8"/>
      <c r="R124" s="8"/>
      <c r="S124" s="8">
        <v>780</v>
      </c>
      <c r="T124" s="7" t="s">
        <v>64</v>
      </c>
      <c r="U124" s="8"/>
      <c r="V124" s="8"/>
      <c r="W124" s="8"/>
      <c r="X124" s="8"/>
      <c r="Y124" s="8"/>
      <c r="Z124" s="8"/>
      <c r="AA124" s="8"/>
      <c r="AB124" s="8"/>
      <c r="AC124" s="8"/>
      <c r="AD124" s="8">
        <v>540</v>
      </c>
      <c r="AE124" s="8">
        <f>AD124*F124</f>
        <v>168701.4</v>
      </c>
      <c r="AF124" s="8">
        <v>650</v>
      </c>
      <c r="AG124" s="8">
        <f t="shared" ref="AE124:AI124" si="44">AF124*$F$124</f>
        <v>203066.5</v>
      </c>
      <c r="AH124" s="8">
        <v>730</v>
      </c>
      <c r="AI124" s="8">
        <f t="shared" si="44"/>
        <v>228059.3</v>
      </c>
      <c r="AJ124" s="8"/>
      <c r="AK124" s="8">
        <v>1118.28</v>
      </c>
      <c r="AL124" s="8">
        <f>AK124*$F$124</f>
        <v>349361.8548</v>
      </c>
      <c r="AM124" s="8">
        <v>740</v>
      </c>
      <c r="AN124" s="8">
        <f>AM124*$F$124</f>
        <v>231183.4</v>
      </c>
      <c r="AP124" s="1">
        <f>AO125-AE124</f>
        <v>0</v>
      </c>
    </row>
    <row r="125" s="1" customFormat="1" outlineLevel="1" spans="1:41">
      <c r="A125" s="105" t="s">
        <v>79</v>
      </c>
      <c r="B125" s="120" t="s">
        <v>124</v>
      </c>
      <c r="C125" s="105" t="s">
        <v>30</v>
      </c>
      <c r="D125" s="16">
        <f t="shared" si="42"/>
        <v>4</v>
      </c>
      <c r="E125" s="16">
        <f t="shared" si="43"/>
        <v>4</v>
      </c>
      <c r="F125" s="17">
        <f>SUM(D125:D129)</f>
        <v>55.02</v>
      </c>
      <c r="G125" s="17">
        <f>SUM(E125:E129)</f>
        <v>56.59</v>
      </c>
      <c r="H125" s="17">
        <v>680</v>
      </c>
      <c r="I125" s="17">
        <f>H125*G125</f>
        <v>38481.2</v>
      </c>
      <c r="J125" s="17" t="s">
        <v>31</v>
      </c>
      <c r="K125" s="21" t="s">
        <v>111</v>
      </c>
      <c r="L125" s="9">
        <v>4</v>
      </c>
      <c r="M125" s="9">
        <v>4</v>
      </c>
      <c r="N125" s="8"/>
      <c r="O125" s="9"/>
      <c r="P125" s="9"/>
      <c r="Q125" s="8"/>
      <c r="R125" s="8"/>
      <c r="S125" s="8">
        <v>680</v>
      </c>
      <c r="T125" s="7" t="s">
        <v>67</v>
      </c>
      <c r="U125" s="8"/>
      <c r="V125" s="8"/>
      <c r="W125" s="8"/>
      <c r="X125" s="8"/>
      <c r="Y125" s="8"/>
      <c r="Z125" s="8"/>
      <c r="AA125" s="8"/>
      <c r="AB125" s="8"/>
      <c r="AC125" s="8"/>
      <c r="AD125" s="105">
        <v>780</v>
      </c>
      <c r="AE125" s="105">
        <f>AD125*F125</f>
        <v>42915.6</v>
      </c>
      <c r="AF125" s="105">
        <v>835</v>
      </c>
      <c r="AG125" s="105">
        <f>AF125*$F$125</f>
        <v>45941.7</v>
      </c>
      <c r="AH125" s="105">
        <v>1010</v>
      </c>
      <c r="AI125" s="105">
        <f>AH125*$F$125</f>
        <v>55570.2</v>
      </c>
      <c r="AJ125" s="8"/>
      <c r="AK125" s="105">
        <v>1586.52</v>
      </c>
      <c r="AL125" s="105">
        <f>AK125*$F$125</f>
        <v>87290.3304</v>
      </c>
      <c r="AM125" s="105">
        <v>700</v>
      </c>
      <c r="AN125" s="105">
        <f>AM125*$F$125</f>
        <v>38514</v>
      </c>
      <c r="AO125" s="1">
        <v>168701.4</v>
      </c>
    </row>
    <row r="126" s="1" customFormat="1" outlineLevel="1" spans="1:42">
      <c r="A126" s="113"/>
      <c r="B126" s="121"/>
      <c r="C126" s="113"/>
      <c r="D126" s="16">
        <f t="shared" si="42"/>
        <v>0.6</v>
      </c>
      <c r="E126" s="16">
        <f t="shared" si="43"/>
        <v>0.6</v>
      </c>
      <c r="F126" s="17"/>
      <c r="G126" s="17"/>
      <c r="H126" s="17"/>
      <c r="I126" s="17"/>
      <c r="J126" s="17"/>
      <c r="K126" s="21" t="s">
        <v>111</v>
      </c>
      <c r="L126" s="9">
        <v>0.6</v>
      </c>
      <c r="M126" s="9">
        <v>0.6</v>
      </c>
      <c r="N126" s="8"/>
      <c r="O126" s="9"/>
      <c r="P126" s="9"/>
      <c r="Q126" s="8"/>
      <c r="R126" s="8"/>
      <c r="S126" s="8"/>
      <c r="T126" s="7"/>
      <c r="U126" s="8"/>
      <c r="V126" s="8"/>
      <c r="W126" s="8"/>
      <c r="X126" s="8"/>
      <c r="Y126" s="8"/>
      <c r="Z126" s="8"/>
      <c r="AA126" s="8"/>
      <c r="AB126" s="8"/>
      <c r="AC126" s="8"/>
      <c r="AD126" s="113">
        <v>780</v>
      </c>
      <c r="AE126" s="113"/>
      <c r="AF126" s="113">
        <v>1200</v>
      </c>
      <c r="AG126" s="113"/>
      <c r="AH126" s="113"/>
      <c r="AI126" s="113"/>
      <c r="AJ126" s="8"/>
      <c r="AK126" s="113"/>
      <c r="AL126" s="113"/>
      <c r="AM126" s="113"/>
      <c r="AN126" s="113"/>
      <c r="AO126" s="1">
        <v>42915.6</v>
      </c>
      <c r="AP126" s="1">
        <f>AO126-AE125</f>
        <v>0</v>
      </c>
    </row>
    <row r="127" s="1" customFormat="1" outlineLevel="1" spans="1:40">
      <c r="A127" s="113"/>
      <c r="B127" s="121"/>
      <c r="C127" s="113"/>
      <c r="D127" s="16">
        <f t="shared" si="42"/>
        <v>26.21</v>
      </c>
      <c r="E127" s="16">
        <f t="shared" si="43"/>
        <v>27.78</v>
      </c>
      <c r="F127" s="17"/>
      <c r="G127" s="17"/>
      <c r="H127" s="17"/>
      <c r="I127" s="17"/>
      <c r="J127" s="17" t="s">
        <v>39</v>
      </c>
      <c r="K127" s="21" t="s">
        <v>50</v>
      </c>
      <c r="L127" s="9"/>
      <c r="M127" s="9"/>
      <c r="N127" s="21" t="s">
        <v>50</v>
      </c>
      <c r="O127" s="9">
        <v>26.21</v>
      </c>
      <c r="P127" s="9">
        <v>27.78</v>
      </c>
      <c r="Q127" s="8"/>
      <c r="R127" s="8"/>
      <c r="S127" s="8"/>
      <c r="T127" s="7"/>
      <c r="U127" s="8"/>
      <c r="V127" s="8"/>
      <c r="W127" s="8"/>
      <c r="X127" s="8"/>
      <c r="Y127" s="8"/>
      <c r="Z127" s="8"/>
      <c r="AA127" s="8"/>
      <c r="AB127" s="8"/>
      <c r="AC127" s="8"/>
      <c r="AD127" s="113">
        <v>780</v>
      </c>
      <c r="AE127" s="113"/>
      <c r="AF127" s="113">
        <v>1200</v>
      </c>
      <c r="AG127" s="113"/>
      <c r="AH127" s="113"/>
      <c r="AI127" s="113"/>
      <c r="AJ127" s="8"/>
      <c r="AK127" s="113"/>
      <c r="AL127" s="113"/>
      <c r="AM127" s="113"/>
      <c r="AN127" s="113"/>
    </row>
    <row r="128" s="1" customFormat="1" outlineLevel="1" spans="1:40">
      <c r="A128" s="113"/>
      <c r="B128" s="121"/>
      <c r="C128" s="113"/>
      <c r="D128" s="16">
        <f t="shared" si="42"/>
        <v>12.99</v>
      </c>
      <c r="E128" s="16">
        <f t="shared" si="43"/>
        <v>12.99</v>
      </c>
      <c r="F128" s="17"/>
      <c r="G128" s="17"/>
      <c r="H128" s="17"/>
      <c r="I128" s="17"/>
      <c r="J128" s="17"/>
      <c r="K128" s="21" t="s">
        <v>68</v>
      </c>
      <c r="L128" s="9"/>
      <c r="M128" s="9"/>
      <c r="N128" s="21" t="s">
        <v>68</v>
      </c>
      <c r="O128" s="9">
        <v>12.99</v>
      </c>
      <c r="P128" s="9">
        <v>12.99</v>
      </c>
      <c r="Q128" s="8"/>
      <c r="R128" s="8"/>
      <c r="S128" s="8"/>
      <c r="T128" s="7"/>
      <c r="U128" s="8"/>
      <c r="V128" s="8"/>
      <c r="W128" s="8"/>
      <c r="X128" s="8"/>
      <c r="Y128" s="8"/>
      <c r="Z128" s="8"/>
      <c r="AA128" s="8"/>
      <c r="AB128" s="8"/>
      <c r="AC128" s="8"/>
      <c r="AD128" s="113">
        <v>780</v>
      </c>
      <c r="AE128" s="113"/>
      <c r="AF128" s="113">
        <v>1200</v>
      </c>
      <c r="AG128" s="113"/>
      <c r="AH128" s="113"/>
      <c r="AI128" s="113"/>
      <c r="AJ128" s="8"/>
      <c r="AK128" s="113"/>
      <c r="AL128" s="113"/>
      <c r="AM128" s="113"/>
      <c r="AN128" s="113"/>
    </row>
    <row r="129" s="1" customFormat="1" outlineLevel="1" spans="1:40">
      <c r="A129" s="107"/>
      <c r="B129" s="122"/>
      <c r="C129" s="107"/>
      <c r="D129" s="16">
        <f t="shared" si="42"/>
        <v>11.22</v>
      </c>
      <c r="E129" s="16">
        <f t="shared" si="43"/>
        <v>11.22</v>
      </c>
      <c r="F129" s="17"/>
      <c r="G129" s="17"/>
      <c r="H129" s="17"/>
      <c r="I129" s="17"/>
      <c r="J129" s="17"/>
      <c r="K129" s="21" t="s">
        <v>125</v>
      </c>
      <c r="L129" s="9"/>
      <c r="M129" s="9"/>
      <c r="N129" s="21" t="s">
        <v>125</v>
      </c>
      <c r="O129" s="9">
        <v>11.22</v>
      </c>
      <c r="P129" s="9">
        <v>11.22</v>
      </c>
      <c r="Q129" s="8"/>
      <c r="R129" s="8"/>
      <c r="S129" s="8"/>
      <c r="T129" s="7"/>
      <c r="U129" s="8"/>
      <c r="V129" s="8"/>
      <c r="W129" s="8"/>
      <c r="X129" s="8"/>
      <c r="Y129" s="8"/>
      <c r="Z129" s="8"/>
      <c r="AA129" s="8"/>
      <c r="AB129" s="8"/>
      <c r="AC129" s="8"/>
      <c r="AD129" s="107">
        <v>780</v>
      </c>
      <c r="AE129" s="107"/>
      <c r="AF129" s="107">
        <v>1200</v>
      </c>
      <c r="AG129" s="107"/>
      <c r="AH129" s="107"/>
      <c r="AI129" s="107"/>
      <c r="AJ129" s="8"/>
      <c r="AK129" s="107"/>
      <c r="AL129" s="107"/>
      <c r="AM129" s="107"/>
      <c r="AN129" s="107"/>
    </row>
    <row r="130" s="1" customFormat="1" outlineLevel="1" spans="1:40">
      <c r="A130" s="105" t="s">
        <v>79</v>
      </c>
      <c r="B130" s="120" t="s">
        <v>126</v>
      </c>
      <c r="C130" s="105" t="s">
        <v>30</v>
      </c>
      <c r="D130" s="16">
        <f t="shared" si="42"/>
        <v>13.8</v>
      </c>
      <c r="E130" s="16">
        <f t="shared" si="43"/>
        <v>14.08</v>
      </c>
      <c r="F130" s="17">
        <f>SUM(D130:D131)</f>
        <v>274.68</v>
      </c>
      <c r="G130" s="17">
        <f>SUM(E130:E131)</f>
        <v>280.18</v>
      </c>
      <c r="H130" s="17">
        <v>680</v>
      </c>
      <c r="I130" s="17">
        <f>H130*G130</f>
        <v>190522.4</v>
      </c>
      <c r="J130" s="17" t="s">
        <v>39</v>
      </c>
      <c r="K130" s="21" t="s">
        <v>50</v>
      </c>
      <c r="L130" s="9"/>
      <c r="M130" s="9"/>
      <c r="N130" s="21" t="s">
        <v>50</v>
      </c>
      <c r="O130" s="9">
        <v>13.8</v>
      </c>
      <c r="P130" s="9">
        <v>14.08</v>
      </c>
      <c r="Q130" s="8"/>
      <c r="R130" s="8"/>
      <c r="S130" s="8">
        <v>680</v>
      </c>
      <c r="T130" s="7" t="s">
        <v>67</v>
      </c>
      <c r="U130" s="8"/>
      <c r="V130" s="8"/>
      <c r="W130" s="8"/>
      <c r="X130" s="8"/>
      <c r="Y130" s="8"/>
      <c r="Z130" s="8"/>
      <c r="AA130" s="8"/>
      <c r="AB130" s="8"/>
      <c r="AC130" s="8"/>
      <c r="AD130" s="120">
        <v>780</v>
      </c>
      <c r="AE130" s="120">
        <f>AD131*F130</f>
        <v>214250.4</v>
      </c>
      <c r="AF130" s="120">
        <v>835</v>
      </c>
      <c r="AG130" s="120">
        <f>AF130*$F$130</f>
        <v>229357.8</v>
      </c>
      <c r="AH130" s="120">
        <v>1010</v>
      </c>
      <c r="AI130" s="120">
        <f>AH130*$F$130</f>
        <v>277426.8</v>
      </c>
      <c r="AJ130" s="8"/>
      <c r="AK130" s="120">
        <v>1586.52</v>
      </c>
      <c r="AL130" s="120">
        <f>AK130*$F$130</f>
        <v>435785.3136</v>
      </c>
      <c r="AM130" s="120">
        <v>700</v>
      </c>
      <c r="AN130" s="120">
        <f>AM130*$F$130</f>
        <v>192276</v>
      </c>
    </row>
    <row r="131" s="1" customFormat="1" outlineLevel="1" spans="1:42">
      <c r="A131" s="107"/>
      <c r="B131" s="122"/>
      <c r="C131" s="107"/>
      <c r="D131" s="16">
        <f t="shared" si="42"/>
        <v>260.88</v>
      </c>
      <c r="E131" s="16">
        <f t="shared" si="43"/>
        <v>266.1</v>
      </c>
      <c r="F131" s="17"/>
      <c r="G131" s="17"/>
      <c r="H131" s="17"/>
      <c r="I131" s="17"/>
      <c r="J131" s="17"/>
      <c r="K131" s="21" t="s">
        <v>116</v>
      </c>
      <c r="L131" s="9"/>
      <c r="M131" s="9"/>
      <c r="N131" s="21" t="s">
        <v>116</v>
      </c>
      <c r="O131" s="9">
        <v>260.88</v>
      </c>
      <c r="P131" s="9">
        <v>266.1</v>
      </c>
      <c r="Q131" s="8"/>
      <c r="R131" s="8"/>
      <c r="S131" s="8"/>
      <c r="T131" s="7"/>
      <c r="U131" s="8"/>
      <c r="V131" s="8"/>
      <c r="W131" s="8"/>
      <c r="X131" s="8"/>
      <c r="Y131" s="8"/>
      <c r="Z131" s="8"/>
      <c r="AA131" s="8"/>
      <c r="AB131" s="8"/>
      <c r="AC131" s="8"/>
      <c r="AD131" s="122">
        <v>780</v>
      </c>
      <c r="AE131" s="127"/>
      <c r="AF131" s="122">
        <v>1200</v>
      </c>
      <c r="AG131" s="122"/>
      <c r="AH131" s="122"/>
      <c r="AI131" s="122"/>
      <c r="AJ131" s="8"/>
      <c r="AK131" s="122"/>
      <c r="AL131" s="122"/>
      <c r="AM131" s="122"/>
      <c r="AN131" s="122"/>
      <c r="AO131" s="1">
        <v>214250.4</v>
      </c>
      <c r="AP131" s="1" t="e">
        <f>AO131-#REF!</f>
        <v>#REF!</v>
      </c>
    </row>
    <row r="132" s="1" customFormat="1" outlineLevel="1" spans="1:40">
      <c r="A132" s="105" t="s">
        <v>84</v>
      </c>
      <c r="B132" s="120" t="s">
        <v>85</v>
      </c>
      <c r="C132" s="105" t="s">
        <v>30</v>
      </c>
      <c r="D132" s="16">
        <f t="shared" si="42"/>
        <v>156.27</v>
      </c>
      <c r="E132" s="16">
        <f t="shared" si="43"/>
        <v>159.4958</v>
      </c>
      <c r="F132" s="17">
        <f>SUM(D132:D136)</f>
        <v>499.55</v>
      </c>
      <c r="G132" s="17">
        <f>SUM(E132:E136)</f>
        <v>512.1858</v>
      </c>
      <c r="H132" s="17">
        <v>525</v>
      </c>
      <c r="I132" s="17">
        <f>H132*G132</f>
        <v>268897.545</v>
      </c>
      <c r="J132" s="17" t="s">
        <v>39</v>
      </c>
      <c r="K132" s="21" t="s">
        <v>49</v>
      </c>
      <c r="L132" s="9">
        <v>5.88</v>
      </c>
      <c r="M132" s="9">
        <f>L132*1.035</f>
        <v>6.0858</v>
      </c>
      <c r="N132" s="21" t="s">
        <v>49</v>
      </c>
      <c r="O132" s="9">
        <f>46.17+98.14+2.3+1.26+2.52</f>
        <v>150.39</v>
      </c>
      <c r="P132" s="9">
        <f>46.86+100.1+2.44+1.34+2.67</f>
        <v>153.41</v>
      </c>
      <c r="Q132" s="8"/>
      <c r="R132" s="8"/>
      <c r="S132" s="8">
        <v>525</v>
      </c>
      <c r="T132" s="7" t="s">
        <v>86</v>
      </c>
      <c r="U132" s="8"/>
      <c r="V132" s="8"/>
      <c r="W132" s="8"/>
      <c r="X132" s="8"/>
      <c r="Y132" s="8"/>
      <c r="Z132" s="8"/>
      <c r="AA132" s="8"/>
      <c r="AB132" s="8"/>
      <c r="AC132" s="8"/>
      <c r="AD132" s="105">
        <v>615</v>
      </c>
      <c r="AE132" s="105">
        <f>AD136*F132</f>
        <v>307223.25</v>
      </c>
      <c r="AF132" s="105">
        <v>750</v>
      </c>
      <c r="AG132" s="105">
        <f>AF132*$F$132</f>
        <v>374662.5</v>
      </c>
      <c r="AH132" s="105">
        <v>680</v>
      </c>
      <c r="AI132" s="105">
        <f>AH132*$F$132</f>
        <v>339694</v>
      </c>
      <c r="AJ132" s="8"/>
      <c r="AK132" s="105">
        <v>780</v>
      </c>
      <c r="AL132" s="105">
        <f>AK132*$F$132</f>
        <v>389649</v>
      </c>
      <c r="AM132" s="105">
        <v>550</v>
      </c>
      <c r="AN132" s="105">
        <f>AM132*$F$132</f>
        <v>274752.5</v>
      </c>
    </row>
    <row r="133" s="1" customFormat="1" outlineLevel="1" spans="1:42">
      <c r="A133" s="113"/>
      <c r="B133" s="121"/>
      <c r="C133" s="113"/>
      <c r="D133" s="16">
        <f t="shared" si="42"/>
        <v>59.46</v>
      </c>
      <c r="E133" s="16">
        <f t="shared" si="43"/>
        <v>62.99</v>
      </c>
      <c r="F133" s="17"/>
      <c r="G133" s="17"/>
      <c r="H133" s="17"/>
      <c r="I133" s="17"/>
      <c r="J133" s="17"/>
      <c r="K133" s="21" t="s">
        <v>127</v>
      </c>
      <c r="L133" s="9"/>
      <c r="M133" s="9"/>
      <c r="N133" s="21" t="s">
        <v>127</v>
      </c>
      <c r="O133" s="9">
        <f>16.38+43.08</f>
        <v>59.46</v>
      </c>
      <c r="P133" s="9">
        <f>17.36+45.63</f>
        <v>62.99</v>
      </c>
      <c r="Q133" s="8"/>
      <c r="R133" s="8"/>
      <c r="S133" s="8"/>
      <c r="T133" s="7"/>
      <c r="U133" s="8"/>
      <c r="V133" s="8"/>
      <c r="W133" s="8"/>
      <c r="X133" s="8"/>
      <c r="Y133" s="8"/>
      <c r="Z133" s="8"/>
      <c r="AA133" s="8"/>
      <c r="AB133" s="8"/>
      <c r="AC133" s="8"/>
      <c r="AD133" s="113">
        <v>615</v>
      </c>
      <c r="AE133" s="113"/>
      <c r="AF133" s="113">
        <v>750</v>
      </c>
      <c r="AG133" s="113"/>
      <c r="AH133" s="113"/>
      <c r="AI133" s="113"/>
      <c r="AJ133" s="8"/>
      <c r="AK133" s="113"/>
      <c r="AL133" s="113"/>
      <c r="AM133" s="113"/>
      <c r="AN133" s="113"/>
      <c r="AO133" s="1">
        <v>307223.25</v>
      </c>
      <c r="AP133" s="1" t="e">
        <f>AO133-#REF!</f>
        <v>#REF!</v>
      </c>
    </row>
    <row r="134" s="1" customFormat="1" outlineLevel="1" spans="1:40">
      <c r="A134" s="113"/>
      <c r="B134" s="121"/>
      <c r="C134" s="113"/>
      <c r="D134" s="16">
        <f t="shared" si="42"/>
        <v>30.1</v>
      </c>
      <c r="E134" s="16">
        <f t="shared" si="43"/>
        <v>30.79</v>
      </c>
      <c r="F134" s="17"/>
      <c r="G134" s="17"/>
      <c r="H134" s="17"/>
      <c r="I134" s="17"/>
      <c r="J134" s="17"/>
      <c r="K134" s="21" t="s">
        <v>54</v>
      </c>
      <c r="L134" s="9"/>
      <c r="M134" s="9"/>
      <c r="N134" s="21" t="s">
        <v>54</v>
      </c>
      <c r="O134" s="9">
        <f>27.72+2.38</f>
        <v>30.1</v>
      </c>
      <c r="P134" s="9">
        <f>28.27+2.52</f>
        <v>30.79</v>
      </c>
      <c r="Q134" s="8"/>
      <c r="R134" s="8"/>
      <c r="S134" s="8"/>
      <c r="T134" s="7"/>
      <c r="U134" s="8"/>
      <c r="V134" s="8"/>
      <c r="W134" s="8"/>
      <c r="X134" s="8"/>
      <c r="Y134" s="8"/>
      <c r="Z134" s="8"/>
      <c r="AA134" s="8"/>
      <c r="AB134" s="8"/>
      <c r="AC134" s="8"/>
      <c r="AD134" s="113">
        <v>615</v>
      </c>
      <c r="AE134" s="113"/>
      <c r="AF134" s="113">
        <v>750</v>
      </c>
      <c r="AG134" s="113"/>
      <c r="AH134" s="113"/>
      <c r="AI134" s="113"/>
      <c r="AJ134" s="8"/>
      <c r="AK134" s="113"/>
      <c r="AL134" s="113"/>
      <c r="AM134" s="113"/>
      <c r="AN134" s="113"/>
    </row>
    <row r="135" s="1" customFormat="1" outlineLevel="1" spans="1:40">
      <c r="A135" s="113"/>
      <c r="B135" s="121"/>
      <c r="C135" s="113"/>
      <c r="D135" s="16">
        <f t="shared" si="42"/>
        <v>230.91</v>
      </c>
      <c r="E135" s="16">
        <f t="shared" si="43"/>
        <v>235.65</v>
      </c>
      <c r="F135" s="17"/>
      <c r="G135" s="17"/>
      <c r="H135" s="17"/>
      <c r="I135" s="17"/>
      <c r="J135" s="17"/>
      <c r="K135" s="21" t="s">
        <v>106</v>
      </c>
      <c r="L135" s="9"/>
      <c r="M135" s="9"/>
      <c r="N135" s="21" t="s">
        <v>106</v>
      </c>
      <c r="O135" s="9">
        <f>227.97+2.94</f>
        <v>230.91</v>
      </c>
      <c r="P135" s="9">
        <f>232.53+3.12</f>
        <v>235.65</v>
      </c>
      <c r="Q135" s="8"/>
      <c r="R135" s="8"/>
      <c r="S135" s="8"/>
      <c r="T135" s="7"/>
      <c r="U135" s="8"/>
      <c r="V135" s="8"/>
      <c r="W135" s="8"/>
      <c r="X135" s="8"/>
      <c r="Y135" s="8"/>
      <c r="Z135" s="8"/>
      <c r="AA135" s="8"/>
      <c r="AB135" s="8"/>
      <c r="AC135" s="8"/>
      <c r="AD135" s="113">
        <v>615</v>
      </c>
      <c r="AE135" s="113"/>
      <c r="AF135" s="113">
        <v>750</v>
      </c>
      <c r="AG135" s="113"/>
      <c r="AH135" s="113"/>
      <c r="AI135" s="113"/>
      <c r="AJ135" s="8"/>
      <c r="AK135" s="113"/>
      <c r="AL135" s="113"/>
      <c r="AM135" s="113"/>
      <c r="AN135" s="113"/>
    </row>
    <row r="136" s="1" customFormat="1" outlineLevel="1" spans="1:40">
      <c r="A136" s="107"/>
      <c r="B136" s="122"/>
      <c r="C136" s="107"/>
      <c r="D136" s="16">
        <f t="shared" si="42"/>
        <v>22.81</v>
      </c>
      <c r="E136" s="16">
        <f t="shared" si="43"/>
        <v>23.26</v>
      </c>
      <c r="F136" s="17"/>
      <c r="G136" s="17"/>
      <c r="H136" s="17"/>
      <c r="I136" s="17"/>
      <c r="J136" s="17"/>
      <c r="K136" s="21" t="s">
        <v>116</v>
      </c>
      <c r="L136" s="9"/>
      <c r="M136" s="9"/>
      <c r="N136" s="21" t="s">
        <v>116</v>
      </c>
      <c r="O136" s="9">
        <f>15.67+7.14</f>
        <v>22.81</v>
      </c>
      <c r="P136" s="9">
        <f>15.98+7.28</f>
        <v>23.26</v>
      </c>
      <c r="Q136" s="8"/>
      <c r="R136" s="8"/>
      <c r="S136" s="8"/>
      <c r="T136" s="7"/>
      <c r="U136" s="8"/>
      <c r="V136" s="8"/>
      <c r="W136" s="8"/>
      <c r="X136" s="8"/>
      <c r="Y136" s="8"/>
      <c r="Z136" s="8"/>
      <c r="AA136" s="8"/>
      <c r="AB136" s="8"/>
      <c r="AC136" s="8"/>
      <c r="AD136" s="107">
        <v>615</v>
      </c>
      <c r="AE136" s="128"/>
      <c r="AF136" s="107">
        <v>750</v>
      </c>
      <c r="AG136" s="107"/>
      <c r="AH136" s="107"/>
      <c r="AI136" s="107"/>
      <c r="AJ136" s="8"/>
      <c r="AK136" s="107"/>
      <c r="AL136" s="107"/>
      <c r="AM136" s="107"/>
      <c r="AN136" s="107"/>
    </row>
    <row r="137" s="1" customFormat="1" ht="25.5" outlineLevel="1" spans="1:40">
      <c r="A137" s="99" t="s">
        <v>87</v>
      </c>
      <c r="B137" s="103" t="s">
        <v>88</v>
      </c>
      <c r="C137" s="101" t="s">
        <v>30</v>
      </c>
      <c r="D137" s="16">
        <f t="shared" si="42"/>
        <v>4.25</v>
      </c>
      <c r="E137" s="16">
        <f t="shared" si="43"/>
        <v>4.25</v>
      </c>
      <c r="F137" s="17">
        <f>D137</f>
        <v>4.25</v>
      </c>
      <c r="G137" s="17">
        <f>E137</f>
        <v>4.25</v>
      </c>
      <c r="H137" s="17">
        <v>680</v>
      </c>
      <c r="I137" s="16">
        <f t="shared" ref="I137:I142" si="45">H137*G137</f>
        <v>2890</v>
      </c>
      <c r="J137" s="16" t="s">
        <v>31</v>
      </c>
      <c r="K137" s="7" t="s">
        <v>120</v>
      </c>
      <c r="L137" s="9">
        <v>4.25</v>
      </c>
      <c r="M137" s="9">
        <v>4.25</v>
      </c>
      <c r="N137" s="21"/>
      <c r="O137" s="9"/>
      <c r="P137" s="9"/>
      <c r="Q137" s="8"/>
      <c r="R137" s="8"/>
      <c r="S137" s="8">
        <v>766</v>
      </c>
      <c r="T137" s="7" t="s">
        <v>90</v>
      </c>
      <c r="U137" s="8"/>
      <c r="V137" s="8"/>
      <c r="W137" s="8"/>
      <c r="X137" s="8"/>
      <c r="Y137" s="8"/>
      <c r="Z137" s="8"/>
      <c r="AA137" s="8"/>
      <c r="AB137" s="8"/>
      <c r="AC137" s="8"/>
      <c r="AD137" s="8">
        <v>300</v>
      </c>
      <c r="AE137" s="8">
        <f>AD137*F137</f>
        <v>1275</v>
      </c>
      <c r="AF137" s="8">
        <v>540</v>
      </c>
      <c r="AG137" s="8">
        <f>AF137*$F$137</f>
        <v>2295</v>
      </c>
      <c r="AH137" s="8">
        <v>350</v>
      </c>
      <c r="AI137" s="8">
        <f>AH137*$F$137</f>
        <v>1487.5</v>
      </c>
      <c r="AJ137" s="8"/>
      <c r="AK137" s="8">
        <v>540</v>
      </c>
      <c r="AL137" s="8">
        <f>AK137*$F$137</f>
        <v>2295</v>
      </c>
      <c r="AM137" s="8">
        <v>650</v>
      </c>
      <c r="AN137" s="8">
        <f>AM137*$F$137</f>
        <v>2762.5</v>
      </c>
    </row>
    <row r="138" s="1" customFormat="1" outlineLevel="1" spans="1:42">
      <c r="A138" s="105" t="s">
        <v>97</v>
      </c>
      <c r="B138" s="120" t="s">
        <v>85</v>
      </c>
      <c r="C138" s="105" t="s">
        <v>30</v>
      </c>
      <c r="D138" s="16">
        <f t="shared" si="42"/>
        <v>75.66</v>
      </c>
      <c r="E138" s="16">
        <f t="shared" si="43"/>
        <v>77.17</v>
      </c>
      <c r="F138" s="17">
        <f>SUM(D138:D141)</f>
        <v>207.6</v>
      </c>
      <c r="G138" s="17">
        <f>SUM(E138:E141)</f>
        <v>217.01</v>
      </c>
      <c r="H138" s="17">
        <v>525</v>
      </c>
      <c r="I138" s="17">
        <f t="shared" si="45"/>
        <v>113930.25</v>
      </c>
      <c r="J138" s="17" t="s">
        <v>31</v>
      </c>
      <c r="K138" s="21" t="s">
        <v>111</v>
      </c>
      <c r="L138" s="9">
        <f>44.03+31.63</f>
        <v>75.66</v>
      </c>
      <c r="M138" s="9">
        <f>44.91+32.26</f>
        <v>77.17</v>
      </c>
      <c r="N138" s="21"/>
      <c r="O138" s="9"/>
      <c r="P138" s="9"/>
      <c r="Q138" s="8"/>
      <c r="R138" s="8"/>
      <c r="S138" s="8">
        <v>525</v>
      </c>
      <c r="T138" s="7" t="s">
        <v>86</v>
      </c>
      <c r="U138" s="8"/>
      <c r="V138" s="8"/>
      <c r="W138" s="8"/>
      <c r="X138" s="8"/>
      <c r="Y138" s="8"/>
      <c r="Z138" s="8"/>
      <c r="AA138" s="8"/>
      <c r="AB138" s="8"/>
      <c r="AC138" s="8"/>
      <c r="AD138" s="105">
        <v>615</v>
      </c>
      <c r="AE138" s="105">
        <f>AD141*F138</f>
        <v>127674</v>
      </c>
      <c r="AF138" s="105">
        <v>750</v>
      </c>
      <c r="AG138" s="105">
        <f>AF138*$F$138</f>
        <v>155700</v>
      </c>
      <c r="AH138" s="105">
        <v>680</v>
      </c>
      <c r="AI138" s="105">
        <f>AH138*$F$138</f>
        <v>141168</v>
      </c>
      <c r="AJ138" s="8"/>
      <c r="AK138" s="105">
        <v>780</v>
      </c>
      <c r="AL138" s="105">
        <f>AK138*$F$138</f>
        <v>161928</v>
      </c>
      <c r="AM138" s="105">
        <v>550</v>
      </c>
      <c r="AN138" s="105">
        <f>AM138*$F$138</f>
        <v>114180</v>
      </c>
      <c r="AO138" s="1">
        <v>1275</v>
      </c>
      <c r="AP138" s="1">
        <f>AO138-AE137</f>
        <v>0</v>
      </c>
    </row>
    <row r="139" s="1" customFormat="1" outlineLevel="1" spans="1:42">
      <c r="A139" s="113"/>
      <c r="B139" s="121"/>
      <c r="C139" s="113"/>
      <c r="D139" s="16">
        <f t="shared" si="42"/>
        <v>118.08</v>
      </c>
      <c r="E139" s="16">
        <f t="shared" si="43"/>
        <v>125.16</v>
      </c>
      <c r="F139" s="17"/>
      <c r="G139" s="17"/>
      <c r="H139" s="17"/>
      <c r="I139" s="17"/>
      <c r="J139" s="17"/>
      <c r="K139" s="21" t="s">
        <v>111</v>
      </c>
      <c r="L139" s="9">
        <v>118.08</v>
      </c>
      <c r="M139" s="9">
        <v>125.16</v>
      </c>
      <c r="N139" s="21"/>
      <c r="O139" s="9"/>
      <c r="P139" s="9"/>
      <c r="Q139" s="8"/>
      <c r="R139" s="8"/>
      <c r="S139" s="8"/>
      <c r="T139" s="7"/>
      <c r="U139" s="8"/>
      <c r="V139" s="8"/>
      <c r="W139" s="8"/>
      <c r="X139" s="8"/>
      <c r="Y139" s="8"/>
      <c r="Z139" s="8"/>
      <c r="AA139" s="8"/>
      <c r="AB139" s="8"/>
      <c r="AC139" s="8"/>
      <c r="AD139" s="113">
        <v>615</v>
      </c>
      <c r="AE139" s="113"/>
      <c r="AF139" s="113">
        <v>1800</v>
      </c>
      <c r="AG139" s="113"/>
      <c r="AH139" s="113"/>
      <c r="AI139" s="113"/>
      <c r="AJ139" s="8"/>
      <c r="AK139" s="113"/>
      <c r="AL139" s="113"/>
      <c r="AM139" s="113"/>
      <c r="AN139" s="113"/>
      <c r="AO139" s="1">
        <v>127674</v>
      </c>
      <c r="AP139" s="1" t="e">
        <f>AO139-#REF!</f>
        <v>#REF!</v>
      </c>
    </row>
    <row r="140" s="1" customFormat="1" outlineLevel="1" spans="1:40">
      <c r="A140" s="113"/>
      <c r="B140" s="121"/>
      <c r="C140" s="113"/>
      <c r="D140" s="16">
        <f t="shared" si="42"/>
        <v>13.6</v>
      </c>
      <c r="E140" s="16">
        <f t="shared" si="43"/>
        <v>14.42</v>
      </c>
      <c r="F140" s="17"/>
      <c r="G140" s="17"/>
      <c r="H140" s="17"/>
      <c r="I140" s="17"/>
      <c r="J140" s="17"/>
      <c r="K140" s="7" t="s">
        <v>114</v>
      </c>
      <c r="L140" s="9">
        <v>13.6</v>
      </c>
      <c r="M140" s="9">
        <v>14.42</v>
      </c>
      <c r="N140" s="21"/>
      <c r="O140" s="9"/>
      <c r="P140" s="9"/>
      <c r="Q140" s="8"/>
      <c r="R140" s="8"/>
      <c r="S140" s="8"/>
      <c r="T140" s="7"/>
      <c r="U140" s="8"/>
      <c r="V140" s="8"/>
      <c r="W140" s="8"/>
      <c r="X140" s="8"/>
      <c r="Y140" s="8"/>
      <c r="Z140" s="8"/>
      <c r="AA140" s="8"/>
      <c r="AB140" s="8"/>
      <c r="AC140" s="8"/>
      <c r="AD140" s="113">
        <v>615</v>
      </c>
      <c r="AE140" s="113"/>
      <c r="AF140" s="113">
        <v>1800</v>
      </c>
      <c r="AG140" s="113"/>
      <c r="AH140" s="113"/>
      <c r="AI140" s="113"/>
      <c r="AJ140" s="8"/>
      <c r="AK140" s="113"/>
      <c r="AL140" s="113"/>
      <c r="AM140" s="113"/>
      <c r="AN140" s="113"/>
    </row>
    <row r="141" s="1" customFormat="1" outlineLevel="1" spans="1:40">
      <c r="A141" s="107"/>
      <c r="B141" s="122"/>
      <c r="C141" s="107"/>
      <c r="D141" s="16">
        <f t="shared" si="42"/>
        <v>0.26</v>
      </c>
      <c r="E141" s="16">
        <f t="shared" si="43"/>
        <v>0.26</v>
      </c>
      <c r="F141" s="17"/>
      <c r="G141" s="17"/>
      <c r="H141" s="17"/>
      <c r="I141" s="17"/>
      <c r="J141" s="17"/>
      <c r="K141" s="7" t="s">
        <v>128</v>
      </c>
      <c r="L141" s="9">
        <v>0.26</v>
      </c>
      <c r="M141" s="9">
        <v>0.26</v>
      </c>
      <c r="N141" s="21"/>
      <c r="O141" s="9"/>
      <c r="P141" s="9"/>
      <c r="Q141" s="8"/>
      <c r="R141" s="8"/>
      <c r="S141" s="8"/>
      <c r="T141" s="7"/>
      <c r="U141" s="8"/>
      <c r="V141" s="8"/>
      <c r="W141" s="8"/>
      <c r="X141" s="8"/>
      <c r="Y141" s="8"/>
      <c r="Z141" s="8"/>
      <c r="AA141" s="8"/>
      <c r="AB141" s="8"/>
      <c r="AC141" s="8"/>
      <c r="AD141" s="107">
        <v>615</v>
      </c>
      <c r="AE141" s="128"/>
      <c r="AF141" s="107">
        <v>1800</v>
      </c>
      <c r="AG141" s="107"/>
      <c r="AH141" s="107"/>
      <c r="AI141" s="107"/>
      <c r="AJ141" s="8"/>
      <c r="AK141" s="107"/>
      <c r="AL141" s="107"/>
      <c r="AM141" s="107"/>
      <c r="AN141" s="107"/>
    </row>
    <row r="142" s="1" customFormat="1" outlineLevel="1" spans="1:40">
      <c r="A142" s="105" t="s">
        <v>129</v>
      </c>
      <c r="B142" s="120" t="s">
        <v>130</v>
      </c>
      <c r="C142" s="105" t="s">
        <v>30</v>
      </c>
      <c r="D142" s="16">
        <f t="shared" si="42"/>
        <v>12.03</v>
      </c>
      <c r="E142" s="16">
        <f t="shared" si="43"/>
        <v>12.63</v>
      </c>
      <c r="F142" s="17">
        <f>SUM(D142:D143)</f>
        <v>17.74</v>
      </c>
      <c r="G142" s="17">
        <f>SUM(E142:E143)</f>
        <v>18.63</v>
      </c>
      <c r="H142" s="17">
        <v>500</v>
      </c>
      <c r="I142" s="17">
        <f t="shared" si="45"/>
        <v>9315</v>
      </c>
      <c r="J142" s="17" t="s">
        <v>31</v>
      </c>
      <c r="K142" s="7" t="s">
        <v>115</v>
      </c>
      <c r="L142" s="9">
        <f>11.42+0.61</f>
        <v>12.03</v>
      </c>
      <c r="M142" s="9">
        <f>11.99+0.64</f>
        <v>12.63</v>
      </c>
      <c r="N142" s="8"/>
      <c r="O142" s="9"/>
      <c r="P142" s="9"/>
      <c r="Q142" s="8"/>
      <c r="R142" s="8"/>
      <c r="S142" s="8">
        <v>500</v>
      </c>
      <c r="T142" s="7" t="s">
        <v>103</v>
      </c>
      <c r="U142" s="8"/>
      <c r="V142" s="8"/>
      <c r="W142" s="8"/>
      <c r="X142" s="8"/>
      <c r="Y142" s="8"/>
      <c r="Z142" s="8"/>
      <c r="AA142" s="8"/>
      <c r="AB142" s="8"/>
      <c r="AC142" s="8"/>
      <c r="AD142" s="120">
        <v>650</v>
      </c>
      <c r="AE142" s="120">
        <f>AD143*F142</f>
        <v>11531</v>
      </c>
      <c r="AF142" s="120">
        <v>820</v>
      </c>
      <c r="AG142" s="120">
        <f>AF142*$F$142</f>
        <v>14546.8</v>
      </c>
      <c r="AH142" s="120">
        <v>670</v>
      </c>
      <c r="AI142" s="120">
        <f>AH142*$F$142</f>
        <v>11885.8</v>
      </c>
      <c r="AJ142" s="8"/>
      <c r="AK142" s="120">
        <v>935.64</v>
      </c>
      <c r="AL142" s="120">
        <f>AK142*$F$142</f>
        <v>16598.2536</v>
      </c>
      <c r="AM142" s="120">
        <v>530</v>
      </c>
      <c r="AN142" s="120">
        <f>AM142*$F$142</f>
        <v>9402.2</v>
      </c>
    </row>
    <row r="143" s="1" customFormat="1" outlineLevel="1" spans="1:42">
      <c r="A143" s="107"/>
      <c r="B143" s="122"/>
      <c r="C143" s="107"/>
      <c r="D143" s="16">
        <f t="shared" si="42"/>
        <v>5.71</v>
      </c>
      <c r="E143" s="16">
        <f t="shared" si="43"/>
        <v>6</v>
      </c>
      <c r="F143" s="17"/>
      <c r="G143" s="17"/>
      <c r="H143" s="17"/>
      <c r="I143" s="17"/>
      <c r="J143" s="17" t="s">
        <v>39</v>
      </c>
      <c r="K143" s="21" t="s">
        <v>116</v>
      </c>
      <c r="L143" s="9"/>
      <c r="M143" s="9"/>
      <c r="N143" s="21" t="s">
        <v>116</v>
      </c>
      <c r="O143" s="9">
        <v>5.71</v>
      </c>
      <c r="P143" s="9">
        <v>6</v>
      </c>
      <c r="Q143" s="8"/>
      <c r="R143" s="8"/>
      <c r="S143" s="8"/>
      <c r="T143" s="7"/>
      <c r="U143" s="8"/>
      <c r="V143" s="8"/>
      <c r="W143" s="8"/>
      <c r="X143" s="8"/>
      <c r="Y143" s="8"/>
      <c r="Z143" s="8"/>
      <c r="AA143" s="8"/>
      <c r="AB143" s="8"/>
      <c r="AC143" s="8"/>
      <c r="AD143" s="122">
        <v>650</v>
      </c>
      <c r="AE143" s="127"/>
      <c r="AF143" s="122">
        <v>1120</v>
      </c>
      <c r="AG143" s="122"/>
      <c r="AH143" s="122"/>
      <c r="AI143" s="122"/>
      <c r="AJ143" s="8"/>
      <c r="AK143" s="122"/>
      <c r="AL143" s="122"/>
      <c r="AM143" s="122"/>
      <c r="AN143" s="122"/>
      <c r="AO143" s="1">
        <v>11531</v>
      </c>
      <c r="AP143" s="1" t="e">
        <f>AO143-#REF!</f>
        <v>#REF!</v>
      </c>
    </row>
    <row r="144" outlineLevel="1" spans="1:40">
      <c r="A144" s="8"/>
      <c r="B144" s="8"/>
      <c r="C144" s="8"/>
      <c r="D144" s="9"/>
      <c r="E144" s="9"/>
      <c r="F144" s="9"/>
      <c r="G144" s="9"/>
      <c r="H144" s="9"/>
      <c r="I144" s="9"/>
      <c r="J144" s="9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 spans="1:40">
      <c r="A145" s="8"/>
      <c r="B145" s="8"/>
      <c r="C145" s="8"/>
      <c r="D145" s="9"/>
      <c r="E145" s="9"/>
      <c r="F145" s="9"/>
      <c r="G145" s="9"/>
      <c r="H145" s="9"/>
      <c r="I145" s="9"/>
      <c r="J145" s="9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 spans="1:40">
      <c r="A146" s="7" t="s">
        <v>131</v>
      </c>
      <c r="B146" s="8"/>
      <c r="C146" s="8"/>
      <c r="D146" s="9"/>
      <c r="E146" s="9"/>
      <c r="F146" s="9"/>
      <c r="G146" s="9"/>
      <c r="H146" s="9"/>
      <c r="I146" s="9"/>
      <c r="J146" s="9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 s="1" customFormat="1" outlineLevel="1" spans="1:40">
      <c r="A147" s="99" t="s">
        <v>79</v>
      </c>
      <c r="B147" s="103" t="s">
        <v>132</v>
      </c>
      <c r="C147" s="101" t="s">
        <v>30</v>
      </c>
      <c r="D147" s="16">
        <f t="shared" ref="D147:D162" si="46">L147</f>
        <v>1.24</v>
      </c>
      <c r="E147" s="16">
        <f t="shared" ref="E147:E162" si="47">M147</f>
        <v>1.2648</v>
      </c>
      <c r="F147" s="17">
        <f>SUM(D147:D154)</f>
        <v>8.79</v>
      </c>
      <c r="G147" s="17">
        <f>SUM(E147:E154)</f>
        <v>8.9658</v>
      </c>
      <c r="H147" s="17">
        <v>560</v>
      </c>
      <c r="I147" s="17">
        <f>H147*G147</f>
        <v>5020.848</v>
      </c>
      <c r="J147" s="17"/>
      <c r="K147" s="7" t="s">
        <v>114</v>
      </c>
      <c r="L147" s="9">
        <v>1.24</v>
      </c>
      <c r="M147" s="9">
        <f t="shared" ref="M147:M161" si="48">L147*1.02</f>
        <v>1.2648</v>
      </c>
      <c r="N147" s="8">
        <v>560</v>
      </c>
      <c r="O147" s="7" t="s">
        <v>67</v>
      </c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77">
        <v>680</v>
      </c>
      <c r="AE147" s="77">
        <f>AD147*$F$147</f>
        <v>5977.2</v>
      </c>
      <c r="AF147" s="77">
        <v>680</v>
      </c>
      <c r="AG147" s="77">
        <f>AF147*$F$147</f>
        <v>5977.2</v>
      </c>
      <c r="AH147" s="77">
        <v>1290</v>
      </c>
      <c r="AI147" s="77">
        <f>AH147*$F$147</f>
        <v>11339.1</v>
      </c>
      <c r="AJ147" s="8"/>
      <c r="AK147" s="77">
        <v>828.65</v>
      </c>
      <c r="AL147" s="77">
        <f>AK147*$F$147</f>
        <v>7283.8335</v>
      </c>
      <c r="AM147" s="77">
        <v>570</v>
      </c>
      <c r="AN147" s="77">
        <f>AM147*$F$147</f>
        <v>5010.3</v>
      </c>
    </row>
    <row r="148" s="1" customFormat="1" outlineLevel="1" spans="1:40">
      <c r="A148" s="99"/>
      <c r="B148" s="103"/>
      <c r="C148" s="101"/>
      <c r="D148" s="16">
        <f t="shared" si="46"/>
        <v>1.62</v>
      </c>
      <c r="E148" s="16">
        <f t="shared" si="47"/>
        <v>1.6524</v>
      </c>
      <c r="F148" s="17"/>
      <c r="G148" s="17"/>
      <c r="H148" s="17"/>
      <c r="I148" s="17"/>
      <c r="J148" s="17"/>
      <c r="K148" s="7" t="s">
        <v>133</v>
      </c>
      <c r="L148" s="9">
        <v>1.62</v>
      </c>
      <c r="M148" s="9">
        <f t="shared" si="48"/>
        <v>1.6524</v>
      </c>
      <c r="N148" s="8"/>
      <c r="O148" s="7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78"/>
      <c r="AE148" s="78"/>
      <c r="AF148" s="78"/>
      <c r="AG148" s="78"/>
      <c r="AH148" s="78"/>
      <c r="AI148" s="78"/>
      <c r="AJ148" s="8"/>
      <c r="AK148" s="78"/>
      <c r="AL148" s="78"/>
      <c r="AM148" s="78"/>
      <c r="AN148" s="78"/>
    </row>
    <row r="149" s="1" customFormat="1" outlineLevel="1" spans="1:40">
      <c r="A149" s="99"/>
      <c r="B149" s="103"/>
      <c r="C149" s="101"/>
      <c r="D149" s="16">
        <f t="shared" si="46"/>
        <v>1.56</v>
      </c>
      <c r="E149" s="16">
        <f t="shared" si="47"/>
        <v>1.5912</v>
      </c>
      <c r="F149" s="17"/>
      <c r="G149" s="17"/>
      <c r="H149" s="17"/>
      <c r="I149" s="17"/>
      <c r="J149" s="17"/>
      <c r="K149" s="7" t="s">
        <v>134</v>
      </c>
      <c r="L149" s="9">
        <v>1.56</v>
      </c>
      <c r="M149" s="9">
        <f t="shared" si="48"/>
        <v>1.5912</v>
      </c>
      <c r="N149" s="8"/>
      <c r="O149" s="7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78"/>
      <c r="AE149" s="78"/>
      <c r="AF149" s="78"/>
      <c r="AG149" s="78"/>
      <c r="AH149" s="78"/>
      <c r="AI149" s="78"/>
      <c r="AJ149" s="8"/>
      <c r="AK149" s="78"/>
      <c r="AL149" s="78"/>
      <c r="AM149" s="78"/>
      <c r="AN149" s="78"/>
    </row>
    <row r="150" s="1" customFormat="1" outlineLevel="1" spans="1:40">
      <c r="A150" s="99"/>
      <c r="B150" s="103"/>
      <c r="C150" s="101"/>
      <c r="D150" s="16">
        <f t="shared" si="46"/>
        <v>1.56</v>
      </c>
      <c r="E150" s="16">
        <f t="shared" si="47"/>
        <v>1.5912</v>
      </c>
      <c r="F150" s="17"/>
      <c r="G150" s="17"/>
      <c r="H150" s="17"/>
      <c r="I150" s="17"/>
      <c r="J150" s="17"/>
      <c r="K150" s="7" t="s">
        <v>134</v>
      </c>
      <c r="L150" s="9">
        <v>1.56</v>
      </c>
      <c r="M150" s="9">
        <f t="shared" si="48"/>
        <v>1.5912</v>
      </c>
      <c r="N150" s="8"/>
      <c r="O150" s="7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78"/>
      <c r="AE150" s="78"/>
      <c r="AF150" s="78"/>
      <c r="AG150" s="78"/>
      <c r="AH150" s="78"/>
      <c r="AI150" s="78"/>
      <c r="AJ150" s="8"/>
      <c r="AK150" s="78"/>
      <c r="AL150" s="78"/>
      <c r="AM150" s="78"/>
      <c r="AN150" s="78"/>
    </row>
    <row r="151" s="1" customFormat="1" outlineLevel="1" spans="1:40">
      <c r="A151" s="99"/>
      <c r="B151" s="103"/>
      <c r="C151" s="101"/>
      <c r="D151" s="16">
        <f t="shared" si="46"/>
        <v>0.36</v>
      </c>
      <c r="E151" s="16">
        <f t="shared" si="47"/>
        <v>0.3672</v>
      </c>
      <c r="F151" s="17"/>
      <c r="G151" s="17"/>
      <c r="H151" s="17"/>
      <c r="I151" s="17"/>
      <c r="J151" s="17"/>
      <c r="K151" s="7" t="s">
        <v>135</v>
      </c>
      <c r="L151" s="9">
        <v>0.36</v>
      </c>
      <c r="M151" s="9">
        <f t="shared" si="48"/>
        <v>0.3672</v>
      </c>
      <c r="N151" s="8"/>
      <c r="O151" s="7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78"/>
      <c r="AE151" s="78"/>
      <c r="AF151" s="78"/>
      <c r="AG151" s="78"/>
      <c r="AH151" s="78"/>
      <c r="AI151" s="78"/>
      <c r="AJ151" s="8"/>
      <c r="AK151" s="78"/>
      <c r="AL151" s="78"/>
      <c r="AM151" s="78"/>
      <c r="AN151" s="78"/>
    </row>
    <row r="152" s="1" customFormat="1" outlineLevel="1" spans="1:40">
      <c r="A152" s="99"/>
      <c r="B152" s="103"/>
      <c r="C152" s="101"/>
      <c r="D152" s="16">
        <f t="shared" si="46"/>
        <v>1.98</v>
      </c>
      <c r="E152" s="16">
        <f t="shared" si="47"/>
        <v>2.0196</v>
      </c>
      <c r="F152" s="17"/>
      <c r="G152" s="17"/>
      <c r="H152" s="17"/>
      <c r="I152" s="17"/>
      <c r="J152" s="17"/>
      <c r="K152" s="7" t="s">
        <v>136</v>
      </c>
      <c r="L152" s="9">
        <v>1.98</v>
      </c>
      <c r="M152" s="9">
        <f t="shared" si="48"/>
        <v>2.0196</v>
      </c>
      <c r="N152" s="8"/>
      <c r="O152" s="7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78"/>
      <c r="AE152" s="78"/>
      <c r="AF152" s="78"/>
      <c r="AG152" s="78"/>
      <c r="AH152" s="78"/>
      <c r="AI152" s="78"/>
      <c r="AJ152" s="8"/>
      <c r="AK152" s="78"/>
      <c r="AL152" s="78"/>
      <c r="AM152" s="78"/>
      <c r="AN152" s="78"/>
    </row>
    <row r="153" s="1" customFormat="1" outlineLevel="1" spans="1:40">
      <c r="A153" s="99"/>
      <c r="B153" s="103"/>
      <c r="C153" s="101"/>
      <c r="D153" s="16">
        <f t="shared" si="46"/>
        <v>0.36</v>
      </c>
      <c r="E153" s="16">
        <f t="shared" si="47"/>
        <v>0.3672</v>
      </c>
      <c r="F153" s="17"/>
      <c r="G153" s="17"/>
      <c r="H153" s="17"/>
      <c r="I153" s="17"/>
      <c r="J153" s="17"/>
      <c r="K153" s="7" t="s">
        <v>137</v>
      </c>
      <c r="L153" s="9">
        <v>0.36</v>
      </c>
      <c r="M153" s="9">
        <f t="shared" si="48"/>
        <v>0.3672</v>
      </c>
      <c r="N153" s="8"/>
      <c r="O153" s="7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78"/>
      <c r="AE153" s="78"/>
      <c r="AF153" s="78"/>
      <c r="AG153" s="78"/>
      <c r="AH153" s="78"/>
      <c r="AI153" s="78"/>
      <c r="AJ153" s="8"/>
      <c r="AK153" s="78"/>
      <c r="AL153" s="78"/>
      <c r="AM153" s="78"/>
      <c r="AN153" s="78"/>
    </row>
    <row r="154" s="1" customFormat="1" outlineLevel="1" spans="1:40">
      <c r="A154" s="99"/>
      <c r="B154" s="103"/>
      <c r="C154" s="101"/>
      <c r="D154" s="16">
        <f t="shared" si="46"/>
        <v>0.11</v>
      </c>
      <c r="E154" s="16">
        <f t="shared" si="47"/>
        <v>0.1122</v>
      </c>
      <c r="F154" s="17"/>
      <c r="G154" s="17"/>
      <c r="H154" s="17"/>
      <c r="I154" s="17"/>
      <c r="J154" s="17"/>
      <c r="K154" s="7" t="s">
        <v>113</v>
      </c>
      <c r="L154" s="9">
        <v>0.11</v>
      </c>
      <c r="M154" s="9">
        <f t="shared" si="48"/>
        <v>0.1122</v>
      </c>
      <c r="N154" s="8"/>
      <c r="O154" s="7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79"/>
      <c r="AE154" s="79"/>
      <c r="AF154" s="79"/>
      <c r="AG154" s="79"/>
      <c r="AH154" s="79"/>
      <c r="AI154" s="79"/>
      <c r="AJ154" s="8"/>
      <c r="AK154" s="79"/>
      <c r="AL154" s="79"/>
      <c r="AM154" s="79"/>
      <c r="AN154" s="79"/>
    </row>
    <row r="155" s="1" customFormat="1" ht="24" outlineLevel="1" spans="1:40">
      <c r="A155" s="99" t="s">
        <v>61</v>
      </c>
      <c r="B155" s="103" t="s">
        <v>138</v>
      </c>
      <c r="C155" s="101" t="s">
        <v>30</v>
      </c>
      <c r="D155" s="16">
        <f t="shared" si="46"/>
        <v>11.43</v>
      </c>
      <c r="E155" s="16">
        <f t="shared" si="47"/>
        <v>11.6586</v>
      </c>
      <c r="F155" s="17">
        <f>D155</f>
        <v>11.43</v>
      </c>
      <c r="G155" s="17">
        <f>E155</f>
        <v>11.6586</v>
      </c>
      <c r="H155" s="17">
        <v>690.65</v>
      </c>
      <c r="I155" s="17">
        <f t="shared" ref="I155:I159" si="49">H155*G155</f>
        <v>8052.01209</v>
      </c>
      <c r="J155" s="17"/>
      <c r="K155" s="7" t="s">
        <v>134</v>
      </c>
      <c r="L155" s="9">
        <v>11.43</v>
      </c>
      <c r="M155" s="9">
        <f t="shared" si="48"/>
        <v>11.6586</v>
      </c>
      <c r="N155" s="8"/>
      <c r="O155" s="7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>
        <v>835</v>
      </c>
      <c r="AE155" s="8">
        <f>AD155*$F$155</f>
        <v>9544.05</v>
      </c>
      <c r="AF155" s="8">
        <v>835</v>
      </c>
      <c r="AG155" s="8">
        <f>AF155*$F$155</f>
        <v>9544.05</v>
      </c>
      <c r="AH155" s="8">
        <v>980</v>
      </c>
      <c r="AI155" s="8">
        <f>AH155*$F$155</f>
        <v>11201.4</v>
      </c>
      <c r="AJ155" s="8"/>
      <c r="AK155" s="8">
        <v>1586.52</v>
      </c>
      <c r="AL155" s="8">
        <f>AK155*$F$155</f>
        <v>18133.9236</v>
      </c>
      <c r="AM155" s="8">
        <v>700</v>
      </c>
      <c r="AN155" s="8">
        <f>AM155*$F$155</f>
        <v>8001</v>
      </c>
    </row>
    <row r="156" s="1" customFormat="1" outlineLevel="1" spans="1:40">
      <c r="A156" s="99" t="s">
        <v>79</v>
      </c>
      <c r="B156" s="103" t="s">
        <v>139</v>
      </c>
      <c r="C156" s="101" t="s">
        <v>30</v>
      </c>
      <c r="D156" s="16">
        <f t="shared" si="46"/>
        <v>2.24</v>
      </c>
      <c r="E156" s="16">
        <f t="shared" si="47"/>
        <v>2.2848</v>
      </c>
      <c r="F156" s="17">
        <f>SUM(D156:D158)</f>
        <v>4.752</v>
      </c>
      <c r="G156" s="17">
        <f>SUM(E156:E158)</f>
        <v>4.84704</v>
      </c>
      <c r="H156" s="17">
        <v>560</v>
      </c>
      <c r="I156" s="17">
        <f t="shared" si="49"/>
        <v>2714.3424</v>
      </c>
      <c r="J156" s="17"/>
      <c r="K156" s="7" t="s">
        <v>140</v>
      </c>
      <c r="L156" s="9">
        <v>2.24</v>
      </c>
      <c r="M156" s="9">
        <f t="shared" si="48"/>
        <v>2.2848</v>
      </c>
      <c r="N156" s="8"/>
      <c r="O156" s="7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77">
        <v>680</v>
      </c>
      <c r="AE156" s="77">
        <f>AD156*$F$156</f>
        <v>3231.36</v>
      </c>
      <c r="AF156" s="77">
        <v>680</v>
      </c>
      <c r="AG156" s="77">
        <f>AF156*$F$156</f>
        <v>3231.36</v>
      </c>
      <c r="AH156" s="77">
        <v>800</v>
      </c>
      <c r="AI156" s="77">
        <f>AH156*$F$156</f>
        <v>3801.6</v>
      </c>
      <c r="AJ156" s="8"/>
      <c r="AK156" s="77">
        <v>828.65</v>
      </c>
      <c r="AL156" s="77">
        <f>AK156*$F$156</f>
        <v>3937.7448</v>
      </c>
      <c r="AM156" s="77">
        <v>570</v>
      </c>
      <c r="AN156" s="77">
        <f>AM156*$F$156</f>
        <v>2708.64</v>
      </c>
    </row>
    <row r="157" s="1" customFormat="1" outlineLevel="1" spans="1:40">
      <c r="A157" s="99"/>
      <c r="B157" s="103"/>
      <c r="C157" s="101"/>
      <c r="D157" s="16">
        <f t="shared" si="46"/>
        <v>0.732</v>
      </c>
      <c r="E157" s="16">
        <f t="shared" si="47"/>
        <v>0.74664</v>
      </c>
      <c r="F157" s="17"/>
      <c r="G157" s="17"/>
      <c r="H157" s="17"/>
      <c r="I157" s="17"/>
      <c r="J157" s="17"/>
      <c r="K157" s="7" t="s">
        <v>114</v>
      </c>
      <c r="L157" s="9">
        <v>0.732</v>
      </c>
      <c r="M157" s="9">
        <f t="shared" si="48"/>
        <v>0.74664</v>
      </c>
      <c r="N157" s="8"/>
      <c r="O157" s="7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78"/>
      <c r="AE157" s="78"/>
      <c r="AF157" s="78"/>
      <c r="AG157" s="78"/>
      <c r="AH157" s="78"/>
      <c r="AI157" s="78"/>
      <c r="AJ157" s="8"/>
      <c r="AK157" s="78"/>
      <c r="AL157" s="78"/>
      <c r="AM157" s="78"/>
      <c r="AN157" s="78"/>
    </row>
    <row r="158" s="1" customFormat="1" outlineLevel="1" spans="1:40">
      <c r="A158" s="99"/>
      <c r="B158" s="103"/>
      <c r="C158" s="101"/>
      <c r="D158" s="16">
        <f t="shared" si="46"/>
        <v>1.78</v>
      </c>
      <c r="E158" s="16">
        <f t="shared" si="47"/>
        <v>1.8156</v>
      </c>
      <c r="F158" s="17"/>
      <c r="G158" s="17"/>
      <c r="H158" s="17"/>
      <c r="I158" s="17"/>
      <c r="J158" s="17"/>
      <c r="K158" s="7" t="s">
        <v>141</v>
      </c>
      <c r="L158" s="9">
        <f>1.01+0.77</f>
        <v>1.78</v>
      </c>
      <c r="M158" s="9">
        <f t="shared" si="48"/>
        <v>1.8156</v>
      </c>
      <c r="N158" s="8"/>
      <c r="O158" s="7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78"/>
      <c r="AE158" s="78"/>
      <c r="AF158" s="78"/>
      <c r="AG158" s="78"/>
      <c r="AH158" s="78"/>
      <c r="AI158" s="78"/>
      <c r="AJ158" s="8"/>
      <c r="AK158" s="78"/>
      <c r="AL158" s="78"/>
      <c r="AM158" s="78"/>
      <c r="AN158" s="78"/>
    </row>
    <row r="159" s="1" customFormat="1" outlineLevel="1" spans="1:40">
      <c r="A159" s="99"/>
      <c r="B159" s="103" t="s">
        <v>142</v>
      </c>
      <c r="C159" s="101" t="s">
        <v>30</v>
      </c>
      <c r="D159" s="16">
        <f t="shared" si="46"/>
        <v>1.24</v>
      </c>
      <c r="E159" s="16">
        <f t="shared" si="47"/>
        <v>1.2648</v>
      </c>
      <c r="F159" s="17">
        <f>SUM(D159:D160)</f>
        <v>1.43</v>
      </c>
      <c r="G159" s="17">
        <f>SUM(E159:E160)</f>
        <v>1.4586</v>
      </c>
      <c r="H159" s="17">
        <v>560</v>
      </c>
      <c r="I159" s="17">
        <f t="shared" si="49"/>
        <v>816.816</v>
      </c>
      <c r="J159" s="17"/>
      <c r="K159" s="7" t="s">
        <v>134</v>
      </c>
      <c r="L159" s="9">
        <v>1.24</v>
      </c>
      <c r="M159" s="9">
        <f t="shared" si="48"/>
        <v>1.2648</v>
      </c>
      <c r="N159" s="8"/>
      <c r="O159" s="7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77">
        <v>680</v>
      </c>
      <c r="AE159" s="77">
        <f>AD159*$F$159</f>
        <v>972.4</v>
      </c>
      <c r="AF159" s="77">
        <v>680</v>
      </c>
      <c r="AG159" s="77">
        <f>AF159*$F$159</f>
        <v>972.4</v>
      </c>
      <c r="AH159" s="77">
        <v>780</v>
      </c>
      <c r="AI159" s="77">
        <f>AH159*$F$159</f>
        <v>1115.4</v>
      </c>
      <c r="AJ159" s="8"/>
      <c r="AK159" s="77">
        <v>828.65</v>
      </c>
      <c r="AL159" s="77">
        <f>AK159*$F$159</f>
        <v>1184.9695</v>
      </c>
      <c r="AM159" s="77">
        <v>570</v>
      </c>
      <c r="AN159" s="77">
        <f>AM159*$F$159</f>
        <v>815.1</v>
      </c>
    </row>
    <row r="160" s="1" customFormat="1" outlineLevel="1" spans="1:40">
      <c r="A160" s="99"/>
      <c r="B160" s="103"/>
      <c r="C160" s="101"/>
      <c r="D160" s="16">
        <f t="shared" si="46"/>
        <v>0.19</v>
      </c>
      <c r="E160" s="16">
        <f t="shared" si="47"/>
        <v>0.1938</v>
      </c>
      <c r="F160" s="17"/>
      <c r="G160" s="17"/>
      <c r="H160" s="17"/>
      <c r="I160" s="17"/>
      <c r="J160" s="17"/>
      <c r="K160" s="7" t="s">
        <v>141</v>
      </c>
      <c r="L160" s="9">
        <v>0.19</v>
      </c>
      <c r="M160" s="9">
        <f t="shared" si="48"/>
        <v>0.1938</v>
      </c>
      <c r="N160" s="8"/>
      <c r="O160" s="7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78"/>
      <c r="AE160" s="78"/>
      <c r="AF160" s="78"/>
      <c r="AG160" s="78"/>
      <c r="AH160" s="78"/>
      <c r="AI160" s="78"/>
      <c r="AJ160" s="8"/>
      <c r="AK160" s="78"/>
      <c r="AL160" s="78"/>
      <c r="AM160" s="78"/>
      <c r="AN160" s="78"/>
    </row>
    <row r="161" s="1" customFormat="1" outlineLevel="1" spans="1:40">
      <c r="A161" s="99" t="s">
        <v>82</v>
      </c>
      <c r="B161" s="103" t="s">
        <v>143</v>
      </c>
      <c r="C161" s="101" t="s">
        <v>30</v>
      </c>
      <c r="D161" s="16">
        <f t="shared" si="46"/>
        <v>21.35</v>
      </c>
      <c r="E161" s="16">
        <f t="shared" si="47"/>
        <v>21.777</v>
      </c>
      <c r="F161" s="17">
        <f>SUM(D161:D162)</f>
        <v>30.68</v>
      </c>
      <c r="G161" s="17">
        <f>SUM(E161:E162)</f>
        <v>31.107</v>
      </c>
      <c r="H161" s="17">
        <v>163.54</v>
      </c>
      <c r="I161" s="17">
        <f>H161*G161</f>
        <v>5087.23878</v>
      </c>
      <c r="J161" s="17"/>
      <c r="K161" s="7" t="s">
        <v>144</v>
      </c>
      <c r="L161" s="9">
        <v>21.35</v>
      </c>
      <c r="M161" s="9">
        <f t="shared" si="48"/>
        <v>21.777</v>
      </c>
      <c r="N161" s="8">
        <v>525</v>
      </c>
      <c r="O161" s="7" t="s">
        <v>67</v>
      </c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77">
        <v>500</v>
      </c>
      <c r="AE161" s="77">
        <f t="shared" ref="AE161:AI161" si="50">AD161*$F$161</f>
        <v>15340</v>
      </c>
      <c r="AF161" s="77">
        <v>500</v>
      </c>
      <c r="AG161" s="77">
        <f>AF161*$F$161</f>
        <v>15340</v>
      </c>
      <c r="AH161" s="77">
        <v>320</v>
      </c>
      <c r="AI161" s="77">
        <f t="shared" si="50"/>
        <v>9817.6</v>
      </c>
      <c r="AJ161" s="8"/>
      <c r="AK161" s="77">
        <v>389.85</v>
      </c>
      <c r="AL161" s="77">
        <f>AK161*$F$161</f>
        <v>11960.598</v>
      </c>
      <c r="AM161" s="77">
        <v>350</v>
      </c>
      <c r="AN161" s="77">
        <f>AM161*$F$161</f>
        <v>10738</v>
      </c>
    </row>
    <row r="162" s="1" customFormat="1" outlineLevel="1" spans="1:40">
      <c r="A162" s="99"/>
      <c r="B162" s="103"/>
      <c r="C162" s="101"/>
      <c r="D162" s="16">
        <f t="shared" si="46"/>
        <v>9.33</v>
      </c>
      <c r="E162" s="16">
        <f t="shared" si="47"/>
        <v>9.33</v>
      </c>
      <c r="F162" s="17"/>
      <c r="G162" s="17"/>
      <c r="H162" s="17"/>
      <c r="I162" s="17"/>
      <c r="J162" s="17"/>
      <c r="K162" s="7" t="s">
        <v>145</v>
      </c>
      <c r="L162" s="9">
        <v>9.33</v>
      </c>
      <c r="M162" s="9">
        <v>9.33</v>
      </c>
      <c r="N162" s="8"/>
      <c r="O162" s="7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79"/>
      <c r="AE162" s="79"/>
      <c r="AF162" s="79"/>
      <c r="AG162" s="79"/>
      <c r="AH162" s="79"/>
      <c r="AI162" s="79"/>
      <c r="AJ162" s="8"/>
      <c r="AK162" s="79"/>
      <c r="AL162" s="79"/>
      <c r="AM162" s="79"/>
      <c r="AN162" s="79"/>
    </row>
    <row r="163" outlineLevel="1" spans="1:40">
      <c r="A163" s="8"/>
      <c r="B163" s="8"/>
      <c r="C163" s="8"/>
      <c r="D163" s="9"/>
      <c r="E163" s="9"/>
      <c r="F163" s="9"/>
      <c r="G163" s="9"/>
      <c r="H163" s="9"/>
      <c r="I163" s="9"/>
      <c r="J163" s="9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</row>
    <row r="164" spans="1:40">
      <c r="A164" s="8"/>
      <c r="B164" s="8"/>
      <c r="C164" s="8"/>
      <c r="D164" s="9"/>
      <c r="E164" s="9"/>
      <c r="F164" s="9"/>
      <c r="G164" s="9"/>
      <c r="H164" s="9"/>
      <c r="I164" s="9"/>
      <c r="J164" s="9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</row>
    <row r="165" spans="1:40">
      <c r="A165" s="7" t="s">
        <v>146</v>
      </c>
      <c r="B165" s="8"/>
      <c r="C165" s="8"/>
      <c r="D165" s="9"/>
      <c r="E165" s="9"/>
      <c r="F165" s="9"/>
      <c r="G165" s="9"/>
      <c r="H165" s="9"/>
      <c r="I165" s="9"/>
      <c r="J165" s="9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</row>
    <row r="166" ht="22.5" outlineLevel="1" spans="1:40">
      <c r="A166" s="87" t="s">
        <v>61</v>
      </c>
      <c r="B166" s="87" t="s">
        <v>147</v>
      </c>
      <c r="C166" s="125" t="s">
        <v>30</v>
      </c>
      <c r="D166" s="86">
        <v>137.5062</v>
      </c>
      <c r="E166" s="86"/>
      <c r="F166" s="86"/>
      <c r="G166" s="86"/>
      <c r="H166" s="126">
        <v>550</v>
      </c>
      <c r="I166" s="86">
        <f>D166*H166</f>
        <v>75628.41</v>
      </c>
      <c r="J166" s="86"/>
      <c r="K166" s="87" t="s">
        <v>148</v>
      </c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>
        <v>550</v>
      </c>
      <c r="AE166" s="8">
        <f>AD166*$D$166</f>
        <v>75628.41</v>
      </c>
      <c r="AF166" s="8">
        <v>650</v>
      </c>
      <c r="AG166" s="8">
        <f>AF166*$D$166</f>
        <v>89379.03</v>
      </c>
      <c r="AH166" s="8">
        <v>770</v>
      </c>
      <c r="AI166" s="8">
        <f>AH166*D166</f>
        <v>105879.774</v>
      </c>
      <c r="AJ166" s="8">
        <v>490</v>
      </c>
      <c r="AK166" s="8">
        <v>874.62</v>
      </c>
      <c r="AL166" s="8">
        <f>AK166*D166</f>
        <v>120265.672644</v>
      </c>
      <c r="AM166" s="8">
        <v>730</v>
      </c>
      <c r="AN166" s="8">
        <f>AM166*D166</f>
        <v>100379.526</v>
      </c>
    </row>
    <row r="167" ht="22.5" outlineLevel="1" spans="1:40">
      <c r="A167" s="87" t="s">
        <v>61</v>
      </c>
      <c r="B167" s="87" t="s">
        <v>147</v>
      </c>
      <c r="C167" s="125" t="s">
        <v>30</v>
      </c>
      <c r="D167" s="86">
        <v>1905.5875</v>
      </c>
      <c r="E167" s="86"/>
      <c r="F167" s="86"/>
      <c r="G167" s="86"/>
      <c r="H167" s="126">
        <v>600</v>
      </c>
      <c r="I167" s="86">
        <f t="shared" ref="I167:I174" si="51">D167*H167</f>
        <v>1143352.5</v>
      </c>
      <c r="J167" s="86"/>
      <c r="K167" s="87" t="s">
        <v>149</v>
      </c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>
        <v>600</v>
      </c>
      <c r="AE167" s="8">
        <f>AD167*$D166</f>
        <v>82503.72</v>
      </c>
      <c r="AF167" s="8">
        <v>650</v>
      </c>
      <c r="AG167" s="8">
        <f>AF167*D167</f>
        <v>1238631.875</v>
      </c>
      <c r="AH167" s="8">
        <v>550</v>
      </c>
      <c r="AI167" s="8">
        <f t="shared" ref="AI167:AI174" si="52">AH167*D167</f>
        <v>1048073.125</v>
      </c>
      <c r="AJ167" s="8">
        <v>490</v>
      </c>
      <c r="AK167" s="8">
        <v>874.62</v>
      </c>
      <c r="AL167" s="8">
        <f t="shared" ref="AL167:AL174" si="53">AK167*D167</f>
        <v>1666664.93925</v>
      </c>
      <c r="AM167" s="8">
        <v>750</v>
      </c>
      <c r="AN167" s="8">
        <f t="shared" ref="AN167:AN174" si="54">AM167*D167</f>
        <v>1429190.625</v>
      </c>
    </row>
    <row r="168" ht="22.5" outlineLevel="1" spans="1:40">
      <c r="A168" s="87" t="s">
        <v>150</v>
      </c>
      <c r="B168" s="87" t="s">
        <v>150</v>
      </c>
      <c r="C168" s="125" t="s">
        <v>30</v>
      </c>
      <c r="D168" s="86">
        <v>235.3624</v>
      </c>
      <c r="E168" s="86"/>
      <c r="F168" s="86"/>
      <c r="G168" s="86"/>
      <c r="H168" s="126">
        <v>420</v>
      </c>
      <c r="I168" s="86">
        <f t="shared" si="51"/>
        <v>98852.208</v>
      </c>
      <c r="J168" s="86"/>
      <c r="K168" s="87" t="s">
        <v>151</v>
      </c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>
        <v>420</v>
      </c>
      <c r="AE168" s="8">
        <f t="shared" ref="AE168:AE174" si="55">AD168*$D167</f>
        <v>800346.75</v>
      </c>
      <c r="AF168" s="129">
        <v>360</v>
      </c>
      <c r="AG168" s="8">
        <f t="shared" ref="AG168:AG174" si="56">AF168*D168</f>
        <v>84730.464</v>
      </c>
      <c r="AH168" s="129">
        <v>460</v>
      </c>
      <c r="AI168" s="8">
        <f t="shared" si="52"/>
        <v>108266.704</v>
      </c>
      <c r="AJ168" s="8">
        <v>683</v>
      </c>
      <c r="AK168" s="129">
        <v>460</v>
      </c>
      <c r="AL168" s="8">
        <f t="shared" si="53"/>
        <v>108266.704</v>
      </c>
      <c r="AM168" s="129">
        <v>590</v>
      </c>
      <c r="AN168" s="8">
        <f t="shared" si="54"/>
        <v>138863.816</v>
      </c>
    </row>
    <row r="169" ht="22.5" outlineLevel="1" spans="1:40">
      <c r="A169" s="87" t="s">
        <v>61</v>
      </c>
      <c r="B169" s="87" t="s">
        <v>152</v>
      </c>
      <c r="C169" s="125" t="s">
        <v>30</v>
      </c>
      <c r="D169" s="86">
        <v>4572.1209</v>
      </c>
      <c r="E169" s="86"/>
      <c r="F169" s="86"/>
      <c r="G169" s="86"/>
      <c r="H169" s="126">
        <v>550</v>
      </c>
      <c r="I169" s="86">
        <f t="shared" si="51"/>
        <v>2514666.495</v>
      </c>
      <c r="J169" s="86"/>
      <c r="K169" s="87" t="s">
        <v>153</v>
      </c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>
        <v>550</v>
      </c>
      <c r="AE169" s="8">
        <f t="shared" si="55"/>
        <v>129449.32</v>
      </c>
      <c r="AF169" s="8">
        <v>650</v>
      </c>
      <c r="AG169" s="8">
        <f t="shared" si="56"/>
        <v>2971878.585</v>
      </c>
      <c r="AH169" s="8">
        <v>530</v>
      </c>
      <c r="AI169" s="8">
        <f t="shared" si="52"/>
        <v>2423224.077</v>
      </c>
      <c r="AJ169" s="8">
        <v>490</v>
      </c>
      <c r="AK169" s="8">
        <v>828.65</v>
      </c>
      <c r="AL169" s="8">
        <f t="shared" si="53"/>
        <v>3788687.983785</v>
      </c>
      <c r="AM169" s="8">
        <v>730</v>
      </c>
      <c r="AN169" s="8">
        <f t="shared" si="54"/>
        <v>3337648.257</v>
      </c>
    </row>
    <row r="170" ht="22.5" outlineLevel="1" spans="1:40">
      <c r="A170" s="87" t="s">
        <v>61</v>
      </c>
      <c r="B170" s="87" t="s">
        <v>147</v>
      </c>
      <c r="C170" s="125" t="s">
        <v>30</v>
      </c>
      <c r="D170" s="86">
        <v>86.5596</v>
      </c>
      <c r="E170" s="86"/>
      <c r="F170" s="86"/>
      <c r="G170" s="86"/>
      <c r="H170" s="126">
        <v>550</v>
      </c>
      <c r="I170" s="86">
        <f t="shared" si="51"/>
        <v>47607.78</v>
      </c>
      <c r="J170" s="86"/>
      <c r="K170" s="87" t="s">
        <v>154</v>
      </c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>
        <v>550</v>
      </c>
      <c r="AE170" s="8">
        <f t="shared" si="55"/>
        <v>2514666.495</v>
      </c>
      <c r="AF170" s="8">
        <v>650</v>
      </c>
      <c r="AG170" s="8">
        <f t="shared" si="56"/>
        <v>56263.74</v>
      </c>
      <c r="AH170" s="8">
        <v>720</v>
      </c>
      <c r="AI170" s="8">
        <f t="shared" si="52"/>
        <v>62322.912</v>
      </c>
      <c r="AJ170" s="8">
        <v>490</v>
      </c>
      <c r="AK170" s="8">
        <v>874.62</v>
      </c>
      <c r="AL170" s="8">
        <f t="shared" si="53"/>
        <v>75706.757352</v>
      </c>
      <c r="AM170" s="8">
        <v>730</v>
      </c>
      <c r="AN170" s="8">
        <f t="shared" si="54"/>
        <v>63188.508</v>
      </c>
    </row>
    <row r="171" ht="22.5" outlineLevel="1" spans="1:40">
      <c r="A171" s="87" t="s">
        <v>61</v>
      </c>
      <c r="B171" s="87" t="s">
        <v>147</v>
      </c>
      <c r="C171" s="125" t="s">
        <v>30</v>
      </c>
      <c r="D171" s="86">
        <v>385.3089</v>
      </c>
      <c r="E171" s="86"/>
      <c r="F171" s="86"/>
      <c r="G171" s="86"/>
      <c r="H171" s="126">
        <v>550</v>
      </c>
      <c r="I171" s="86">
        <f t="shared" si="51"/>
        <v>211919.895</v>
      </c>
      <c r="J171" s="86"/>
      <c r="K171" s="87" t="s">
        <v>155</v>
      </c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>
        <v>420</v>
      </c>
      <c r="AE171" s="8">
        <f t="shared" si="55"/>
        <v>36355.032</v>
      </c>
      <c r="AF171" s="8">
        <v>650</v>
      </c>
      <c r="AG171" s="8">
        <f t="shared" si="56"/>
        <v>250450.785</v>
      </c>
      <c r="AH171" s="8">
        <v>690</v>
      </c>
      <c r="AI171" s="8">
        <f t="shared" si="52"/>
        <v>265863.141</v>
      </c>
      <c r="AJ171" s="8">
        <v>490</v>
      </c>
      <c r="AK171" s="8">
        <v>874.62</v>
      </c>
      <c r="AL171" s="8">
        <f t="shared" si="53"/>
        <v>336998.870118</v>
      </c>
      <c r="AM171" s="8">
        <v>730</v>
      </c>
      <c r="AN171" s="8">
        <f t="shared" si="54"/>
        <v>281275.497</v>
      </c>
    </row>
    <row r="172" ht="22.5" outlineLevel="1" spans="1:40">
      <c r="A172" s="87" t="s">
        <v>61</v>
      </c>
      <c r="B172" s="87" t="s">
        <v>147</v>
      </c>
      <c r="C172" s="125" t="s">
        <v>30</v>
      </c>
      <c r="D172" s="86">
        <v>4.0704</v>
      </c>
      <c r="E172" s="86"/>
      <c r="F172" s="86"/>
      <c r="G172" s="86"/>
      <c r="H172" s="126">
        <v>550</v>
      </c>
      <c r="I172" s="86">
        <f t="shared" si="51"/>
        <v>2238.72</v>
      </c>
      <c r="J172" s="86"/>
      <c r="K172" s="87" t="s">
        <v>156</v>
      </c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>
        <v>550</v>
      </c>
      <c r="AE172" s="8">
        <f t="shared" si="55"/>
        <v>211919.895</v>
      </c>
      <c r="AF172" s="8">
        <v>650</v>
      </c>
      <c r="AG172" s="8">
        <f t="shared" si="56"/>
        <v>2645.76</v>
      </c>
      <c r="AH172" s="8">
        <v>940</v>
      </c>
      <c r="AI172" s="8">
        <f t="shared" si="52"/>
        <v>3826.176</v>
      </c>
      <c r="AJ172" s="8">
        <v>490</v>
      </c>
      <c r="AK172" s="8">
        <v>874.62</v>
      </c>
      <c r="AL172" s="8">
        <f t="shared" si="53"/>
        <v>3560.053248</v>
      </c>
      <c r="AM172" s="8">
        <v>750</v>
      </c>
      <c r="AN172" s="8">
        <f t="shared" si="54"/>
        <v>3052.8</v>
      </c>
    </row>
    <row r="173" outlineLevel="1" spans="1:40">
      <c r="A173" s="87" t="s">
        <v>157</v>
      </c>
      <c r="B173" s="87" t="s">
        <v>157</v>
      </c>
      <c r="C173" s="125" t="s">
        <v>30</v>
      </c>
      <c r="D173" s="86">
        <v>400.2156</v>
      </c>
      <c r="E173" s="86"/>
      <c r="F173" s="86"/>
      <c r="G173" s="86"/>
      <c r="H173" s="126">
        <v>420</v>
      </c>
      <c r="I173" s="86">
        <f t="shared" si="51"/>
        <v>168090.552</v>
      </c>
      <c r="J173" s="86"/>
      <c r="K173" s="87" t="s">
        <v>103</v>
      </c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>
        <v>420</v>
      </c>
      <c r="AE173" s="8">
        <f t="shared" si="55"/>
        <v>1709.568</v>
      </c>
      <c r="AF173" s="129">
        <v>360</v>
      </c>
      <c r="AG173" s="8">
        <f t="shared" si="56"/>
        <v>144077.616</v>
      </c>
      <c r="AH173" s="129">
        <v>690</v>
      </c>
      <c r="AI173" s="8">
        <f t="shared" si="52"/>
        <v>276148.764</v>
      </c>
      <c r="AJ173" s="8">
        <v>683</v>
      </c>
      <c r="AK173" s="129">
        <v>690</v>
      </c>
      <c r="AL173" s="8">
        <f t="shared" si="53"/>
        <v>276148.764</v>
      </c>
      <c r="AM173" s="129">
        <v>590</v>
      </c>
      <c r="AN173" s="8">
        <f t="shared" si="54"/>
        <v>236127.204</v>
      </c>
    </row>
    <row r="174" ht="22.5" outlineLevel="1" spans="1:40">
      <c r="A174" s="87" t="s">
        <v>158</v>
      </c>
      <c r="B174" s="87" t="s">
        <v>158</v>
      </c>
      <c r="C174" s="125" t="s">
        <v>30</v>
      </c>
      <c r="D174" s="86">
        <v>673.2408</v>
      </c>
      <c r="E174" s="86"/>
      <c r="F174" s="86"/>
      <c r="G174" s="86"/>
      <c r="H174" s="126">
        <v>528.4</v>
      </c>
      <c r="I174" s="86">
        <f t="shared" si="51"/>
        <v>355740.43872</v>
      </c>
      <c r="J174" s="86"/>
      <c r="K174" s="88" t="s">
        <v>67</v>
      </c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>
        <v>528</v>
      </c>
      <c r="AE174" s="8">
        <f t="shared" si="55"/>
        <v>211313.8368</v>
      </c>
      <c r="AF174" s="8">
        <v>980</v>
      </c>
      <c r="AG174" s="8">
        <f t="shared" si="56"/>
        <v>659775.984</v>
      </c>
      <c r="AH174" s="8">
        <v>620</v>
      </c>
      <c r="AI174" s="8">
        <f t="shared" si="52"/>
        <v>417409.296</v>
      </c>
      <c r="AJ174" s="8">
        <v>980</v>
      </c>
      <c r="AK174" s="8">
        <v>1855.85</v>
      </c>
      <c r="AL174" s="8">
        <f t="shared" si="53"/>
        <v>1249433.93868</v>
      </c>
      <c r="AM174" s="8">
        <v>600</v>
      </c>
      <c r="AN174" s="8">
        <f t="shared" si="54"/>
        <v>403944.48</v>
      </c>
    </row>
    <row r="175" spans="1:40">
      <c r="A175" s="8"/>
      <c r="B175" s="8"/>
      <c r="C175" s="8"/>
      <c r="D175" s="9"/>
      <c r="E175" s="9"/>
      <c r="F175" s="9"/>
      <c r="G175" s="9"/>
      <c r="H175" s="9"/>
      <c r="I175" s="9"/>
      <c r="J175" s="9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</row>
    <row r="176" spans="1:40">
      <c r="A176" s="8"/>
      <c r="B176" s="8"/>
      <c r="C176" s="8"/>
      <c r="D176" s="9"/>
      <c r="E176" s="9"/>
      <c r="F176" s="9"/>
      <c r="G176" s="9"/>
      <c r="H176" s="9"/>
      <c r="I176" s="9"/>
      <c r="J176" s="9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</row>
    <row r="177" spans="1:40">
      <c r="A177" s="8"/>
      <c r="B177" s="8"/>
      <c r="C177" s="8"/>
      <c r="D177" s="9"/>
      <c r="E177" s="9"/>
      <c r="F177" s="9"/>
      <c r="G177" s="9"/>
      <c r="H177" s="9"/>
      <c r="I177" s="9"/>
      <c r="J177" s="9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</row>
    <row r="178" spans="1:40">
      <c r="A178" s="8"/>
      <c r="B178" s="8"/>
      <c r="C178" s="8"/>
      <c r="D178" s="9"/>
      <c r="E178" s="9"/>
      <c r="F178" s="9"/>
      <c r="G178" s="9"/>
      <c r="H178" s="9"/>
      <c r="I178" s="9"/>
      <c r="J178" s="9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</row>
    <row r="179" spans="1:40">
      <c r="A179" s="8"/>
      <c r="B179" s="8"/>
      <c r="C179" s="8"/>
      <c r="D179" s="9"/>
      <c r="E179" s="9"/>
      <c r="F179" s="9"/>
      <c r="G179" s="9"/>
      <c r="H179" s="9"/>
      <c r="I179" s="9"/>
      <c r="J179" s="9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</row>
    <row r="180" spans="9:40">
      <c r="I180" s="3">
        <f>SUM(I4:I179)</f>
        <v>11409729.68209</v>
      </c>
      <c r="AE180" s="3">
        <f>SUM(AE4:AE179)</f>
        <v>9541437.87944706</v>
      </c>
      <c r="AG180" s="3">
        <f t="shared" ref="AG180:AL180" si="57">SUM(AG4:AG179)</f>
        <v>11621244.9707647</v>
      </c>
      <c r="AI180" s="3">
        <f t="shared" si="57"/>
        <v>10646721.1672353</v>
      </c>
      <c r="AL180" s="3">
        <f t="shared" si="57"/>
        <v>16305094.0709958</v>
      </c>
      <c r="AN180" s="3">
        <f>SUM(AN4:AN179)</f>
        <v>12459462.6282941</v>
      </c>
    </row>
    <row r="188" spans="32:33">
      <c r="AF188" s="12" t="s">
        <v>159</v>
      </c>
      <c r="AG188" s="1">
        <f>(AG180+AI180+AE180)/3</f>
        <v>10603134.6724824</v>
      </c>
    </row>
  </sheetData>
  <mergeCells count="479">
    <mergeCell ref="AD2:AE2"/>
    <mergeCell ref="AF2:AG2"/>
    <mergeCell ref="AH2:AI2"/>
    <mergeCell ref="AK2:AL2"/>
    <mergeCell ref="AM2:AN2"/>
    <mergeCell ref="A4:A24"/>
    <mergeCell ref="A25:A35"/>
    <mergeCell ref="A36:A46"/>
    <mergeCell ref="A47:A57"/>
    <mergeCell ref="A58:A59"/>
    <mergeCell ref="A60:A61"/>
    <mergeCell ref="A62:A63"/>
    <mergeCell ref="A64:A66"/>
    <mergeCell ref="A67:A74"/>
    <mergeCell ref="A75:A77"/>
    <mergeCell ref="A78:A79"/>
    <mergeCell ref="A80:A82"/>
    <mergeCell ref="A83:A99"/>
    <mergeCell ref="A100:A101"/>
    <mergeCell ref="A103:A114"/>
    <mergeCell ref="A115:A117"/>
    <mergeCell ref="A118:A123"/>
    <mergeCell ref="A125:A129"/>
    <mergeCell ref="A130:A131"/>
    <mergeCell ref="A132:A136"/>
    <mergeCell ref="A138:A141"/>
    <mergeCell ref="A142:A143"/>
    <mergeCell ref="A147:A154"/>
    <mergeCell ref="A156:A158"/>
    <mergeCell ref="A159:A160"/>
    <mergeCell ref="A161:A162"/>
    <mergeCell ref="B4:B24"/>
    <mergeCell ref="B25:B35"/>
    <mergeCell ref="B36:B46"/>
    <mergeCell ref="B47:B57"/>
    <mergeCell ref="B58:B59"/>
    <mergeCell ref="B60:B61"/>
    <mergeCell ref="B62:B63"/>
    <mergeCell ref="B64:B66"/>
    <mergeCell ref="B67:B74"/>
    <mergeCell ref="B75:B77"/>
    <mergeCell ref="B78:B79"/>
    <mergeCell ref="B80:B82"/>
    <mergeCell ref="B83:B99"/>
    <mergeCell ref="B100:B101"/>
    <mergeCell ref="B103:B114"/>
    <mergeCell ref="B115:B117"/>
    <mergeCell ref="B118:B123"/>
    <mergeCell ref="B125:B129"/>
    <mergeCell ref="B130:B131"/>
    <mergeCell ref="B132:B136"/>
    <mergeCell ref="B138:B141"/>
    <mergeCell ref="B142:B143"/>
    <mergeCell ref="B147:B154"/>
    <mergeCell ref="B156:B158"/>
    <mergeCell ref="B159:B160"/>
    <mergeCell ref="B161:B162"/>
    <mergeCell ref="C4:C24"/>
    <mergeCell ref="C25:C35"/>
    <mergeCell ref="C36:C46"/>
    <mergeCell ref="C47:C57"/>
    <mergeCell ref="C60:C61"/>
    <mergeCell ref="C62:C63"/>
    <mergeCell ref="C64:C66"/>
    <mergeCell ref="C67:C74"/>
    <mergeCell ref="C75:C77"/>
    <mergeCell ref="C78:C79"/>
    <mergeCell ref="C80:C82"/>
    <mergeCell ref="C83:C99"/>
    <mergeCell ref="C100:C101"/>
    <mergeCell ref="C103:C114"/>
    <mergeCell ref="C115:C117"/>
    <mergeCell ref="C118:C123"/>
    <mergeCell ref="C125:C129"/>
    <mergeCell ref="C130:C131"/>
    <mergeCell ref="C132:C136"/>
    <mergeCell ref="C138:C141"/>
    <mergeCell ref="C142:C143"/>
    <mergeCell ref="C147:C154"/>
    <mergeCell ref="C156:C158"/>
    <mergeCell ref="C159:C160"/>
    <mergeCell ref="C161:C162"/>
    <mergeCell ref="F4:F24"/>
    <mergeCell ref="F25:F35"/>
    <mergeCell ref="F36:F46"/>
    <mergeCell ref="F47:F57"/>
    <mergeCell ref="F58:F59"/>
    <mergeCell ref="F60:F61"/>
    <mergeCell ref="F62:F63"/>
    <mergeCell ref="F64:F66"/>
    <mergeCell ref="F67:F74"/>
    <mergeCell ref="F75:F77"/>
    <mergeCell ref="F78:F79"/>
    <mergeCell ref="F80:F82"/>
    <mergeCell ref="F83:F99"/>
    <mergeCell ref="F100:F101"/>
    <mergeCell ref="F103:F114"/>
    <mergeCell ref="F115:F117"/>
    <mergeCell ref="F118:F123"/>
    <mergeCell ref="F125:F129"/>
    <mergeCell ref="F130:F131"/>
    <mergeCell ref="F132:F136"/>
    <mergeCell ref="F138:F141"/>
    <mergeCell ref="F142:F143"/>
    <mergeCell ref="F147:F154"/>
    <mergeCell ref="F156:F158"/>
    <mergeCell ref="F159:F160"/>
    <mergeCell ref="F161:F162"/>
    <mergeCell ref="G4:G24"/>
    <mergeCell ref="G25:G35"/>
    <mergeCell ref="G36:G46"/>
    <mergeCell ref="G47:G48"/>
    <mergeCell ref="G49:G57"/>
    <mergeCell ref="G60:G61"/>
    <mergeCell ref="G62:G63"/>
    <mergeCell ref="G64:G66"/>
    <mergeCell ref="G67:G74"/>
    <mergeCell ref="G75:G77"/>
    <mergeCell ref="G78:G79"/>
    <mergeCell ref="G80:G82"/>
    <mergeCell ref="G83:G99"/>
    <mergeCell ref="G100:G101"/>
    <mergeCell ref="G103:G114"/>
    <mergeCell ref="G115:G117"/>
    <mergeCell ref="G118:G123"/>
    <mergeCell ref="G125:G129"/>
    <mergeCell ref="G130:G131"/>
    <mergeCell ref="G132:G136"/>
    <mergeCell ref="G138:G141"/>
    <mergeCell ref="G142:G143"/>
    <mergeCell ref="G147:G154"/>
    <mergeCell ref="G156:G158"/>
    <mergeCell ref="G159:G160"/>
    <mergeCell ref="G161:G162"/>
    <mergeCell ref="H4:H24"/>
    <mergeCell ref="H25:H35"/>
    <mergeCell ref="H36:H46"/>
    <mergeCell ref="H47:H57"/>
    <mergeCell ref="H60:H61"/>
    <mergeCell ref="H62:H63"/>
    <mergeCell ref="H64:H66"/>
    <mergeCell ref="H67:H74"/>
    <mergeCell ref="H75:H77"/>
    <mergeCell ref="H78:H79"/>
    <mergeCell ref="H80:H82"/>
    <mergeCell ref="H83:H99"/>
    <mergeCell ref="H100:H101"/>
    <mergeCell ref="H103:H114"/>
    <mergeCell ref="H115:H117"/>
    <mergeCell ref="H118:H123"/>
    <mergeCell ref="H125:H129"/>
    <mergeCell ref="H130:H131"/>
    <mergeCell ref="H132:H136"/>
    <mergeCell ref="H138:H141"/>
    <mergeCell ref="H142:H143"/>
    <mergeCell ref="H147:H154"/>
    <mergeCell ref="H156:H158"/>
    <mergeCell ref="H159:H160"/>
    <mergeCell ref="H161:H162"/>
    <mergeCell ref="I4:I24"/>
    <mergeCell ref="I25:I35"/>
    <mergeCell ref="I36:I46"/>
    <mergeCell ref="I47:I57"/>
    <mergeCell ref="I60:I61"/>
    <mergeCell ref="I62:I63"/>
    <mergeCell ref="I64:I66"/>
    <mergeCell ref="I67:I74"/>
    <mergeCell ref="I75:I77"/>
    <mergeCell ref="I78:I79"/>
    <mergeCell ref="I80:I82"/>
    <mergeCell ref="I83:I99"/>
    <mergeCell ref="I100:I101"/>
    <mergeCell ref="I103:I114"/>
    <mergeCell ref="I115:I117"/>
    <mergeCell ref="I118:I123"/>
    <mergeCell ref="I125:I129"/>
    <mergeCell ref="I130:I131"/>
    <mergeCell ref="I132:I136"/>
    <mergeCell ref="I138:I141"/>
    <mergeCell ref="I142:I143"/>
    <mergeCell ref="I147:I154"/>
    <mergeCell ref="I156:I158"/>
    <mergeCell ref="I159:I160"/>
    <mergeCell ref="I161:I162"/>
    <mergeCell ref="J4:J9"/>
    <mergeCell ref="J10:J17"/>
    <mergeCell ref="J18:J20"/>
    <mergeCell ref="J21:J23"/>
    <mergeCell ref="J26:J30"/>
    <mergeCell ref="J31:J33"/>
    <mergeCell ref="J36:J37"/>
    <mergeCell ref="J38:J42"/>
    <mergeCell ref="J44:J45"/>
    <mergeCell ref="J47:J48"/>
    <mergeCell ref="J49:J51"/>
    <mergeCell ref="J52:J54"/>
    <mergeCell ref="J55:J56"/>
    <mergeCell ref="J58:J59"/>
    <mergeCell ref="J62:J63"/>
    <mergeCell ref="J64:J65"/>
    <mergeCell ref="J68:J71"/>
    <mergeCell ref="J72:J73"/>
    <mergeCell ref="J75:J77"/>
    <mergeCell ref="J78:J79"/>
    <mergeCell ref="J80:J82"/>
    <mergeCell ref="J83:J87"/>
    <mergeCell ref="J88:J93"/>
    <mergeCell ref="J94:J96"/>
    <mergeCell ref="J97:J98"/>
    <mergeCell ref="J103:J109"/>
    <mergeCell ref="J110:J114"/>
    <mergeCell ref="J119:J123"/>
    <mergeCell ref="J125:J126"/>
    <mergeCell ref="J127:J129"/>
    <mergeCell ref="J130:J131"/>
    <mergeCell ref="J132:J136"/>
    <mergeCell ref="J138:J141"/>
    <mergeCell ref="AD4:AD24"/>
    <mergeCell ref="AD25:AD35"/>
    <mergeCell ref="AD36:AD46"/>
    <mergeCell ref="AD47:AD57"/>
    <mergeCell ref="AD58:AD59"/>
    <mergeCell ref="AD60:AD61"/>
    <mergeCell ref="AD62:AD63"/>
    <mergeCell ref="AD64:AD66"/>
    <mergeCell ref="AD67:AD74"/>
    <mergeCell ref="AD75:AD77"/>
    <mergeCell ref="AD78:AD79"/>
    <mergeCell ref="AD80:AD82"/>
    <mergeCell ref="AD83:AD99"/>
    <mergeCell ref="AD100:AD101"/>
    <mergeCell ref="AD103:AD114"/>
    <mergeCell ref="AD115:AD117"/>
    <mergeCell ref="AD118:AD123"/>
    <mergeCell ref="AD125:AD129"/>
    <mergeCell ref="AD130:AD131"/>
    <mergeCell ref="AD132:AD136"/>
    <mergeCell ref="AD138:AD141"/>
    <mergeCell ref="AD142:AD143"/>
    <mergeCell ref="AD147:AD154"/>
    <mergeCell ref="AD156:AD158"/>
    <mergeCell ref="AD159:AD160"/>
    <mergeCell ref="AD161:AD162"/>
    <mergeCell ref="AE4:AE24"/>
    <mergeCell ref="AE25:AE35"/>
    <mergeCell ref="AE36:AE46"/>
    <mergeCell ref="AE47:AE57"/>
    <mergeCell ref="AE58:AE59"/>
    <mergeCell ref="AE60:AE61"/>
    <mergeCell ref="AE62:AE63"/>
    <mergeCell ref="AE64:AE66"/>
    <mergeCell ref="AE67:AE74"/>
    <mergeCell ref="AE75:AE77"/>
    <mergeCell ref="AE78:AE79"/>
    <mergeCell ref="AE80:AE82"/>
    <mergeCell ref="AE83:AE99"/>
    <mergeCell ref="AE100:AE101"/>
    <mergeCell ref="AE103:AE114"/>
    <mergeCell ref="AE115:AE117"/>
    <mergeCell ref="AE118:AE123"/>
    <mergeCell ref="AE125:AE129"/>
    <mergeCell ref="AE130:AE131"/>
    <mergeCell ref="AE132:AE136"/>
    <mergeCell ref="AE138:AE141"/>
    <mergeCell ref="AE142:AE143"/>
    <mergeCell ref="AE147:AE154"/>
    <mergeCell ref="AE156:AE158"/>
    <mergeCell ref="AE159:AE160"/>
    <mergeCell ref="AE161:AE162"/>
    <mergeCell ref="AF4:AF24"/>
    <mergeCell ref="AF25:AF35"/>
    <mergeCell ref="AF36:AF46"/>
    <mergeCell ref="AF47:AF57"/>
    <mergeCell ref="AF58:AF59"/>
    <mergeCell ref="AF60:AF61"/>
    <mergeCell ref="AF62:AF63"/>
    <mergeCell ref="AF64:AF66"/>
    <mergeCell ref="AF67:AF74"/>
    <mergeCell ref="AF75:AF77"/>
    <mergeCell ref="AF78:AF79"/>
    <mergeCell ref="AF80:AF82"/>
    <mergeCell ref="AF83:AF99"/>
    <mergeCell ref="AF100:AF101"/>
    <mergeCell ref="AF103:AF114"/>
    <mergeCell ref="AF115:AF117"/>
    <mergeCell ref="AF118:AF123"/>
    <mergeCell ref="AF125:AF129"/>
    <mergeCell ref="AF130:AF131"/>
    <mergeCell ref="AF132:AF136"/>
    <mergeCell ref="AF138:AF141"/>
    <mergeCell ref="AF142:AF143"/>
    <mergeCell ref="AF147:AF154"/>
    <mergeCell ref="AF156:AF158"/>
    <mergeCell ref="AF159:AF160"/>
    <mergeCell ref="AF161:AF162"/>
    <mergeCell ref="AG4:AG24"/>
    <mergeCell ref="AG25:AG35"/>
    <mergeCell ref="AG36:AG46"/>
    <mergeCell ref="AG47:AG57"/>
    <mergeCell ref="AG58:AG59"/>
    <mergeCell ref="AG60:AG61"/>
    <mergeCell ref="AG62:AG63"/>
    <mergeCell ref="AG64:AG66"/>
    <mergeCell ref="AG67:AG74"/>
    <mergeCell ref="AG75:AG77"/>
    <mergeCell ref="AG78:AG79"/>
    <mergeCell ref="AG80:AG82"/>
    <mergeCell ref="AG83:AG99"/>
    <mergeCell ref="AG100:AG101"/>
    <mergeCell ref="AG103:AG114"/>
    <mergeCell ref="AG115:AG117"/>
    <mergeCell ref="AG118:AG123"/>
    <mergeCell ref="AG125:AG129"/>
    <mergeCell ref="AG130:AG131"/>
    <mergeCell ref="AG132:AG136"/>
    <mergeCell ref="AG138:AG141"/>
    <mergeCell ref="AG142:AG143"/>
    <mergeCell ref="AG147:AG154"/>
    <mergeCell ref="AG156:AG158"/>
    <mergeCell ref="AG159:AG160"/>
    <mergeCell ref="AG161:AG162"/>
    <mergeCell ref="AH4:AH24"/>
    <mergeCell ref="AH25:AH35"/>
    <mergeCell ref="AH36:AH46"/>
    <mergeCell ref="AH47:AH57"/>
    <mergeCell ref="AH58:AH59"/>
    <mergeCell ref="AH60:AH61"/>
    <mergeCell ref="AH62:AH63"/>
    <mergeCell ref="AH64:AH66"/>
    <mergeCell ref="AH67:AH74"/>
    <mergeCell ref="AH75:AH77"/>
    <mergeCell ref="AH78:AH79"/>
    <mergeCell ref="AH80:AH82"/>
    <mergeCell ref="AH83:AH99"/>
    <mergeCell ref="AH100:AH101"/>
    <mergeCell ref="AH103:AH114"/>
    <mergeCell ref="AH115:AH117"/>
    <mergeCell ref="AH118:AH123"/>
    <mergeCell ref="AH125:AH129"/>
    <mergeCell ref="AH130:AH131"/>
    <mergeCell ref="AH132:AH136"/>
    <mergeCell ref="AH138:AH141"/>
    <mergeCell ref="AH142:AH143"/>
    <mergeCell ref="AH147:AH154"/>
    <mergeCell ref="AH156:AH158"/>
    <mergeCell ref="AH159:AH160"/>
    <mergeCell ref="AH161:AH162"/>
    <mergeCell ref="AI4:AI24"/>
    <mergeCell ref="AI25:AI35"/>
    <mergeCell ref="AI36:AI46"/>
    <mergeCell ref="AI47:AI57"/>
    <mergeCell ref="AI58:AI59"/>
    <mergeCell ref="AI60:AI61"/>
    <mergeCell ref="AI62:AI63"/>
    <mergeCell ref="AI64:AI66"/>
    <mergeCell ref="AI67:AI74"/>
    <mergeCell ref="AI75:AI77"/>
    <mergeCell ref="AI78:AI79"/>
    <mergeCell ref="AI80:AI82"/>
    <mergeCell ref="AI83:AI99"/>
    <mergeCell ref="AI100:AI101"/>
    <mergeCell ref="AI103:AI114"/>
    <mergeCell ref="AI115:AI117"/>
    <mergeCell ref="AI118:AI123"/>
    <mergeCell ref="AI125:AI129"/>
    <mergeCell ref="AI130:AI131"/>
    <mergeCell ref="AI132:AI136"/>
    <mergeCell ref="AI138:AI141"/>
    <mergeCell ref="AI142:AI143"/>
    <mergeCell ref="AI147:AI154"/>
    <mergeCell ref="AI156:AI158"/>
    <mergeCell ref="AI159:AI160"/>
    <mergeCell ref="AI161:AI162"/>
    <mergeCell ref="AJ62:AJ63"/>
    <mergeCell ref="AJ64:AJ66"/>
    <mergeCell ref="AK4:AK24"/>
    <mergeCell ref="AK25:AK35"/>
    <mergeCell ref="AK36:AK46"/>
    <mergeCell ref="AK47:AK57"/>
    <mergeCell ref="AK58:AK59"/>
    <mergeCell ref="AK60:AK61"/>
    <mergeCell ref="AK62:AK63"/>
    <mergeCell ref="AK64:AK66"/>
    <mergeCell ref="AK67:AK74"/>
    <mergeCell ref="AK75:AK77"/>
    <mergeCell ref="AK78:AK79"/>
    <mergeCell ref="AK80:AK82"/>
    <mergeCell ref="AK83:AK99"/>
    <mergeCell ref="AK100:AK101"/>
    <mergeCell ref="AK103:AK114"/>
    <mergeCell ref="AK115:AK117"/>
    <mergeCell ref="AK118:AK123"/>
    <mergeCell ref="AK125:AK129"/>
    <mergeCell ref="AK130:AK131"/>
    <mergeCell ref="AK132:AK136"/>
    <mergeCell ref="AK138:AK141"/>
    <mergeCell ref="AK142:AK143"/>
    <mergeCell ref="AK147:AK154"/>
    <mergeCell ref="AK156:AK158"/>
    <mergeCell ref="AK159:AK160"/>
    <mergeCell ref="AK161:AK162"/>
    <mergeCell ref="AL4:AL24"/>
    <mergeCell ref="AL25:AL35"/>
    <mergeCell ref="AL36:AL46"/>
    <mergeCell ref="AL47:AL57"/>
    <mergeCell ref="AL58:AL59"/>
    <mergeCell ref="AL60:AL61"/>
    <mergeCell ref="AL62:AL63"/>
    <mergeCell ref="AL64:AL66"/>
    <mergeCell ref="AL67:AL74"/>
    <mergeCell ref="AL75:AL77"/>
    <mergeCell ref="AL78:AL79"/>
    <mergeCell ref="AL80:AL82"/>
    <mergeCell ref="AL83:AL99"/>
    <mergeCell ref="AL100:AL101"/>
    <mergeCell ref="AL103:AL114"/>
    <mergeCell ref="AL115:AL117"/>
    <mergeCell ref="AL118:AL123"/>
    <mergeCell ref="AL125:AL129"/>
    <mergeCell ref="AL130:AL131"/>
    <mergeCell ref="AL132:AL136"/>
    <mergeCell ref="AL138:AL141"/>
    <mergeCell ref="AL142:AL143"/>
    <mergeCell ref="AL147:AL154"/>
    <mergeCell ref="AL156:AL158"/>
    <mergeCell ref="AL159:AL160"/>
    <mergeCell ref="AL161:AL162"/>
    <mergeCell ref="AM4:AM24"/>
    <mergeCell ref="AM25:AM35"/>
    <mergeCell ref="AM36:AM46"/>
    <mergeCell ref="AM47:AM57"/>
    <mergeCell ref="AM58:AM59"/>
    <mergeCell ref="AM60:AM61"/>
    <mergeCell ref="AM62:AM63"/>
    <mergeCell ref="AM64:AM66"/>
    <mergeCell ref="AM67:AM74"/>
    <mergeCell ref="AM75:AM77"/>
    <mergeCell ref="AM78:AM79"/>
    <mergeCell ref="AM80:AM82"/>
    <mergeCell ref="AM83:AM99"/>
    <mergeCell ref="AM100:AM101"/>
    <mergeCell ref="AM103:AM114"/>
    <mergeCell ref="AM115:AM117"/>
    <mergeCell ref="AM118:AM123"/>
    <mergeCell ref="AM125:AM129"/>
    <mergeCell ref="AM130:AM131"/>
    <mergeCell ref="AM132:AM136"/>
    <mergeCell ref="AM138:AM141"/>
    <mergeCell ref="AM142:AM143"/>
    <mergeCell ref="AM147:AM154"/>
    <mergeCell ref="AM156:AM158"/>
    <mergeCell ref="AM159:AM160"/>
    <mergeCell ref="AM161:AM162"/>
    <mergeCell ref="AN4:AN24"/>
    <mergeCell ref="AN25:AN35"/>
    <mergeCell ref="AN36:AN46"/>
    <mergeCell ref="AN47:AN57"/>
    <mergeCell ref="AN58:AN59"/>
    <mergeCell ref="AN60:AN61"/>
    <mergeCell ref="AN62:AN63"/>
    <mergeCell ref="AN64:AN66"/>
    <mergeCell ref="AN67:AN74"/>
    <mergeCell ref="AN75:AN77"/>
    <mergeCell ref="AN78:AN79"/>
    <mergeCell ref="AN80:AN82"/>
    <mergeCell ref="AN83:AN99"/>
    <mergeCell ref="AN100:AN101"/>
    <mergeCell ref="AN103:AN114"/>
    <mergeCell ref="AN115:AN117"/>
    <mergeCell ref="AN118:AN123"/>
    <mergeCell ref="AN125:AN129"/>
    <mergeCell ref="AN130:AN131"/>
    <mergeCell ref="AN132:AN136"/>
    <mergeCell ref="AN138:AN141"/>
    <mergeCell ref="AN142:AN143"/>
    <mergeCell ref="AN147:AN154"/>
    <mergeCell ref="AN156:AN158"/>
    <mergeCell ref="AN159:AN160"/>
    <mergeCell ref="AN161:AN16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18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F56" sqref="F56"/>
    </sheetView>
  </sheetViews>
  <sheetFormatPr defaultColWidth="9" defaultRowHeight="12.75"/>
  <cols>
    <col min="1" max="1" width="12.4285714285714" style="1" customWidth="1"/>
    <col min="2" max="2" width="14.2857142857143" style="1" customWidth="1"/>
    <col min="3" max="3" width="6" style="1" customWidth="1"/>
    <col min="4" max="4" width="10.8571428571429" style="3" customWidth="1"/>
    <col min="5" max="5" width="8.14285714285714" style="3" customWidth="1"/>
    <col min="6" max="6" width="21.8571428571429" style="1" customWidth="1"/>
    <col min="7" max="7" width="12.4285714285714" style="1" customWidth="1"/>
    <col min="8" max="8" width="18.1428571428571" style="1" customWidth="1"/>
    <col min="9" max="9" width="19.5714285714286" style="1" customWidth="1"/>
    <col min="10" max="16357" width="9" style="1"/>
  </cols>
  <sheetData>
    <row r="1" spans="1:9">
      <c r="A1" s="4" t="s">
        <v>160</v>
      </c>
      <c r="B1" s="5"/>
      <c r="C1" s="5"/>
      <c r="D1" s="5"/>
      <c r="E1" s="5"/>
      <c r="F1" s="5"/>
      <c r="G1" s="5"/>
      <c r="H1" s="5"/>
      <c r="I1" s="46"/>
    </row>
    <row r="2" spans="1:9">
      <c r="A2" s="6"/>
      <c r="B2" s="6"/>
      <c r="C2" s="6"/>
      <c r="D2" s="6"/>
      <c r="E2" s="6"/>
      <c r="F2" s="6"/>
      <c r="G2" s="6"/>
      <c r="H2" s="6"/>
      <c r="I2" s="47"/>
    </row>
    <row r="3" ht="29" customHeight="1" spans="1:9">
      <c r="A3" s="7" t="s">
        <v>0</v>
      </c>
      <c r="B3" s="8"/>
      <c r="C3" s="8"/>
      <c r="D3" s="9"/>
      <c r="E3" s="9"/>
      <c r="F3" s="8"/>
      <c r="G3" s="10"/>
      <c r="H3" s="11"/>
      <c r="I3" s="8"/>
    </row>
    <row r="4" s="1" customFormat="1" ht="19" customHeight="1" outlineLevel="1" spans="1:9">
      <c r="A4" s="7" t="s">
        <v>12</v>
      </c>
      <c r="B4" s="7" t="s">
        <v>13</v>
      </c>
      <c r="C4" s="7" t="s">
        <v>14</v>
      </c>
      <c r="D4" s="7" t="s">
        <v>15</v>
      </c>
      <c r="E4" s="7" t="s">
        <v>21</v>
      </c>
      <c r="F4" s="7" t="s">
        <v>22</v>
      </c>
      <c r="G4" s="12" t="s">
        <v>26</v>
      </c>
      <c r="H4" s="7" t="s">
        <v>27</v>
      </c>
      <c r="I4" s="7" t="s">
        <v>25</v>
      </c>
    </row>
    <row r="5" s="1" customFormat="1" outlineLevel="1" spans="1:9">
      <c r="A5" s="13" t="s">
        <v>28</v>
      </c>
      <c r="B5" s="14" t="s">
        <v>161</v>
      </c>
      <c r="C5" s="15" t="s">
        <v>30</v>
      </c>
      <c r="D5" s="16">
        <v>3.5</v>
      </c>
      <c r="E5" s="17" t="s">
        <v>31</v>
      </c>
      <c r="F5" s="18" t="s">
        <v>32</v>
      </c>
      <c r="G5" s="19"/>
      <c r="H5" s="19"/>
      <c r="I5" s="48" t="s">
        <v>33</v>
      </c>
    </row>
    <row r="6" s="1" customFormat="1" ht="24" customHeight="1" outlineLevel="1" spans="1:9">
      <c r="A6" s="13"/>
      <c r="B6" s="20"/>
      <c r="C6" s="15"/>
      <c r="D6" s="16">
        <v>3.98</v>
      </c>
      <c r="E6" s="17"/>
      <c r="F6" s="18" t="s">
        <v>34</v>
      </c>
      <c r="G6" s="19"/>
      <c r="H6" s="19"/>
      <c r="I6" s="49"/>
    </row>
    <row r="7" s="1" customFormat="1" ht="24.75" outlineLevel="1" spans="1:9">
      <c r="A7" s="13"/>
      <c r="B7" s="20"/>
      <c r="C7" s="15"/>
      <c r="D7" s="16">
        <v>0.88</v>
      </c>
      <c r="E7" s="17"/>
      <c r="F7" s="18" t="s">
        <v>35</v>
      </c>
      <c r="G7" s="19"/>
      <c r="H7" s="19"/>
      <c r="I7" s="49"/>
    </row>
    <row r="8" s="1" customFormat="1" ht="38.25" outlineLevel="1" spans="1:9">
      <c r="A8" s="13"/>
      <c r="B8" s="20"/>
      <c r="C8" s="15"/>
      <c r="D8" s="16">
        <v>8.03</v>
      </c>
      <c r="E8" s="17"/>
      <c r="F8" s="18" t="s">
        <v>36</v>
      </c>
      <c r="G8" s="19"/>
      <c r="H8" s="19"/>
      <c r="I8" s="49"/>
    </row>
    <row r="9" s="1" customFormat="1" ht="25.5" outlineLevel="1" spans="1:9">
      <c r="A9" s="13"/>
      <c r="B9" s="20"/>
      <c r="C9" s="15"/>
      <c r="D9" s="16">
        <v>8.74</v>
      </c>
      <c r="E9" s="17"/>
      <c r="F9" s="18" t="s">
        <v>37</v>
      </c>
      <c r="G9" s="19"/>
      <c r="H9" s="19"/>
      <c r="I9" s="49"/>
    </row>
    <row r="10" s="1" customFormat="1" ht="18" customHeight="1" outlineLevel="1" spans="1:9">
      <c r="A10" s="13"/>
      <c r="B10" s="20"/>
      <c r="C10" s="15"/>
      <c r="D10" s="16">
        <v>28.65</v>
      </c>
      <c r="E10" s="17"/>
      <c r="F10" s="21" t="s">
        <v>38</v>
      </c>
      <c r="G10" s="19"/>
      <c r="H10" s="19"/>
      <c r="I10" s="49"/>
    </row>
    <row r="11" s="1" customFormat="1" ht="21" customHeight="1" outlineLevel="1" spans="1:9">
      <c r="A11" s="13"/>
      <c r="B11" s="20"/>
      <c r="C11" s="15"/>
      <c r="D11" s="16">
        <v>2.37</v>
      </c>
      <c r="E11" s="17" t="s">
        <v>39</v>
      </c>
      <c r="F11" s="21" t="s">
        <v>40</v>
      </c>
      <c r="G11" s="19"/>
      <c r="H11" s="19"/>
      <c r="I11" s="49"/>
    </row>
    <row r="12" s="1" customFormat="1" ht="21" customHeight="1" outlineLevel="1" spans="1:9">
      <c r="A12" s="13"/>
      <c r="B12" s="20"/>
      <c r="C12" s="15"/>
      <c r="D12" s="16">
        <v>6.45</v>
      </c>
      <c r="E12" s="17"/>
      <c r="F12" s="8" t="s">
        <v>41</v>
      </c>
      <c r="G12" s="19"/>
      <c r="H12" s="19"/>
      <c r="I12" s="49"/>
    </row>
    <row r="13" s="1" customFormat="1" ht="21" customHeight="1" outlineLevel="1" spans="1:9">
      <c r="A13" s="13"/>
      <c r="B13" s="20"/>
      <c r="C13" s="15"/>
      <c r="D13" s="16">
        <v>1.06</v>
      </c>
      <c r="E13" s="17"/>
      <c r="F13" s="21" t="s">
        <v>42</v>
      </c>
      <c r="G13" s="19"/>
      <c r="H13" s="19"/>
      <c r="I13" s="49"/>
    </row>
    <row r="14" s="1" customFormat="1" ht="21" customHeight="1" outlineLevel="1" spans="1:9">
      <c r="A14" s="13"/>
      <c r="B14" s="20"/>
      <c r="C14" s="15"/>
      <c r="D14" s="16">
        <v>2.03</v>
      </c>
      <c r="E14" s="17"/>
      <c r="F14" s="21" t="s">
        <v>43</v>
      </c>
      <c r="G14" s="19"/>
      <c r="H14" s="19"/>
      <c r="I14" s="49"/>
    </row>
    <row r="15" s="1" customFormat="1" ht="21" customHeight="1" outlineLevel="1" spans="1:9">
      <c r="A15" s="13"/>
      <c r="B15" s="20"/>
      <c r="C15" s="15"/>
      <c r="D15" s="16">
        <v>0.68</v>
      </c>
      <c r="E15" s="17"/>
      <c r="F15" s="21" t="s">
        <v>44</v>
      </c>
      <c r="G15" s="19"/>
      <c r="H15" s="19"/>
      <c r="I15" s="49"/>
    </row>
    <row r="16" s="1" customFormat="1" ht="21" customHeight="1" outlineLevel="1" spans="1:9">
      <c r="A16" s="13"/>
      <c r="B16" s="20"/>
      <c r="C16" s="15"/>
      <c r="D16" s="16">
        <v>6.8</v>
      </c>
      <c r="E16" s="17"/>
      <c r="F16" s="21" t="s">
        <v>45</v>
      </c>
      <c r="G16" s="19"/>
      <c r="H16" s="19"/>
      <c r="I16" s="49"/>
    </row>
    <row r="17" s="1" customFormat="1" ht="21" customHeight="1" outlineLevel="1" spans="1:9">
      <c r="A17" s="13"/>
      <c r="B17" s="20"/>
      <c r="C17" s="15"/>
      <c r="D17" s="16">
        <v>1.98</v>
      </c>
      <c r="E17" s="17"/>
      <c r="F17" s="8" t="s">
        <v>46</v>
      </c>
      <c r="G17" s="19"/>
      <c r="H17" s="19"/>
      <c r="I17" s="49"/>
    </row>
    <row r="18" s="1" customFormat="1" ht="21" customHeight="1" outlineLevel="1" spans="1:9">
      <c r="A18" s="13"/>
      <c r="B18" s="20"/>
      <c r="C18" s="15"/>
      <c r="D18" s="16">
        <v>31.57</v>
      </c>
      <c r="E18" s="17"/>
      <c r="F18" s="21" t="s">
        <v>47</v>
      </c>
      <c r="G18" s="19"/>
      <c r="H18" s="19"/>
      <c r="I18" s="49"/>
    </row>
    <row r="19" s="1" customFormat="1" ht="21" customHeight="1" outlineLevel="1" spans="1:9">
      <c r="A19" s="13"/>
      <c r="B19" s="20"/>
      <c r="C19" s="15"/>
      <c r="D19" s="16">
        <v>7.55</v>
      </c>
      <c r="E19" s="17" t="s">
        <v>48</v>
      </c>
      <c r="F19" s="21" t="s">
        <v>49</v>
      </c>
      <c r="G19" s="19"/>
      <c r="H19" s="19"/>
      <c r="I19" s="49"/>
    </row>
    <row r="20" s="1" customFormat="1" ht="21" customHeight="1" outlineLevel="1" spans="1:9">
      <c r="A20" s="13"/>
      <c r="B20" s="20"/>
      <c r="C20" s="15"/>
      <c r="D20" s="16">
        <v>5.46</v>
      </c>
      <c r="E20" s="17"/>
      <c r="F20" s="21" t="s">
        <v>50</v>
      </c>
      <c r="G20" s="19"/>
      <c r="H20" s="19"/>
      <c r="I20" s="49"/>
    </row>
    <row r="21" s="1" customFormat="1" ht="21" customHeight="1" outlineLevel="1" spans="1:9">
      <c r="A21" s="13"/>
      <c r="B21" s="20"/>
      <c r="C21" s="15"/>
      <c r="D21" s="16">
        <v>2.06</v>
      </c>
      <c r="E21" s="17"/>
      <c r="F21" s="21" t="s">
        <v>51</v>
      </c>
      <c r="G21" s="19"/>
      <c r="H21" s="19"/>
      <c r="I21" s="49"/>
    </row>
    <row r="22" s="1" customFormat="1" ht="21" customHeight="1" outlineLevel="1" spans="1:9">
      <c r="A22" s="13"/>
      <c r="B22" s="20"/>
      <c r="C22" s="15"/>
      <c r="D22" s="16">
        <v>4.26</v>
      </c>
      <c r="E22" s="17" t="s">
        <v>52</v>
      </c>
      <c r="F22" s="8" t="s">
        <v>53</v>
      </c>
      <c r="G22" s="19"/>
      <c r="H22" s="19"/>
      <c r="I22" s="49"/>
    </row>
    <row r="23" s="1" customFormat="1" ht="21" customHeight="1" outlineLevel="1" spans="1:9">
      <c r="A23" s="13"/>
      <c r="B23" s="20"/>
      <c r="C23" s="15"/>
      <c r="D23" s="16">
        <v>2.76</v>
      </c>
      <c r="E23" s="17"/>
      <c r="F23" s="8" t="s">
        <v>54</v>
      </c>
      <c r="G23" s="19"/>
      <c r="H23" s="19"/>
      <c r="I23" s="49"/>
    </row>
    <row r="24" s="1" customFormat="1" ht="21" customHeight="1" outlineLevel="1" spans="1:9">
      <c r="A24" s="13"/>
      <c r="B24" s="20"/>
      <c r="C24" s="15"/>
      <c r="D24" s="16">
        <v>3.39</v>
      </c>
      <c r="E24" s="17"/>
      <c r="F24" s="8" t="s">
        <v>51</v>
      </c>
      <c r="G24" s="19"/>
      <c r="H24" s="19"/>
      <c r="I24" s="49"/>
    </row>
    <row r="25" s="1" customFormat="1" ht="21" customHeight="1" outlineLevel="1" spans="1:9">
      <c r="A25" s="13"/>
      <c r="B25" s="20"/>
      <c r="C25" s="15"/>
      <c r="D25" s="16">
        <v>3.1</v>
      </c>
      <c r="E25" s="17" t="s">
        <v>55</v>
      </c>
      <c r="F25" s="7" t="s">
        <v>56</v>
      </c>
      <c r="G25" s="19"/>
      <c r="H25" s="19"/>
      <c r="I25" s="50"/>
    </row>
    <row r="26" s="1" customFormat="1" ht="21" customHeight="1" outlineLevel="1" spans="1:9">
      <c r="A26" s="13" t="s">
        <v>57</v>
      </c>
      <c r="B26" s="22" t="s">
        <v>161</v>
      </c>
      <c r="C26" s="15" t="s">
        <v>30</v>
      </c>
      <c r="D26" s="16">
        <v>0</v>
      </c>
      <c r="E26" s="17" t="s">
        <v>31</v>
      </c>
      <c r="F26" s="21" t="s">
        <v>32</v>
      </c>
      <c r="G26" s="19"/>
      <c r="H26" s="19"/>
      <c r="I26" s="25" t="s">
        <v>58</v>
      </c>
    </row>
    <row r="27" s="1" customFormat="1" ht="21" customHeight="1" outlineLevel="1" spans="1:9">
      <c r="A27" s="13"/>
      <c r="B27" s="23"/>
      <c r="C27" s="15"/>
      <c r="D27" s="16">
        <v>0.2</v>
      </c>
      <c r="E27" s="17" t="s">
        <v>39</v>
      </c>
      <c r="F27" s="21" t="s">
        <v>42</v>
      </c>
      <c r="G27" s="19"/>
      <c r="H27" s="19"/>
      <c r="I27" s="51"/>
    </row>
    <row r="28" s="1" customFormat="1" ht="21" customHeight="1" outlineLevel="1" spans="1:9">
      <c r="A28" s="13"/>
      <c r="B28" s="23"/>
      <c r="C28" s="15"/>
      <c r="D28" s="16">
        <v>0.31</v>
      </c>
      <c r="E28" s="17"/>
      <c r="F28" s="21" t="s">
        <v>44</v>
      </c>
      <c r="G28" s="19"/>
      <c r="H28" s="19"/>
      <c r="I28" s="51"/>
    </row>
    <row r="29" s="1" customFormat="1" ht="21" customHeight="1" outlineLevel="1" spans="1:9">
      <c r="A29" s="13"/>
      <c r="B29" s="23"/>
      <c r="C29" s="15"/>
      <c r="D29" s="16">
        <v>0.72</v>
      </c>
      <c r="E29" s="17"/>
      <c r="F29" s="8" t="s">
        <v>59</v>
      </c>
      <c r="G29" s="19"/>
      <c r="H29" s="19"/>
      <c r="I29" s="51"/>
    </row>
    <row r="30" s="1" customFormat="1" ht="21" customHeight="1" outlineLevel="1" spans="1:9">
      <c r="A30" s="13"/>
      <c r="B30" s="23"/>
      <c r="C30" s="15"/>
      <c r="D30" s="16">
        <v>1.08</v>
      </c>
      <c r="E30" s="17"/>
      <c r="F30" s="8" t="s">
        <v>60</v>
      </c>
      <c r="G30" s="19"/>
      <c r="H30" s="19"/>
      <c r="I30" s="51"/>
    </row>
    <row r="31" s="1" customFormat="1" ht="21" customHeight="1" outlineLevel="1" spans="1:9">
      <c r="A31" s="13"/>
      <c r="B31" s="23"/>
      <c r="C31" s="15"/>
      <c r="D31" s="16">
        <v>0.54</v>
      </c>
      <c r="E31" s="17"/>
      <c r="F31" s="8" t="s">
        <v>46</v>
      </c>
      <c r="G31" s="19"/>
      <c r="H31" s="19"/>
      <c r="I31" s="51"/>
    </row>
    <row r="32" s="1" customFormat="1" ht="21" customHeight="1" outlineLevel="1" spans="1:9">
      <c r="A32" s="13"/>
      <c r="B32" s="23"/>
      <c r="C32" s="15"/>
      <c r="D32" s="16">
        <v>0.6</v>
      </c>
      <c r="E32" s="17" t="s">
        <v>48</v>
      </c>
      <c r="F32" s="21" t="s">
        <v>49</v>
      </c>
      <c r="G32" s="19"/>
      <c r="H32" s="19"/>
      <c r="I32" s="51"/>
    </row>
    <row r="33" s="1" customFormat="1" ht="21" customHeight="1" outlineLevel="1" spans="1:9">
      <c r="A33" s="13"/>
      <c r="B33" s="23"/>
      <c r="C33" s="15"/>
      <c r="D33" s="16">
        <v>0.6</v>
      </c>
      <c r="E33" s="17"/>
      <c r="F33" s="21" t="s">
        <v>50</v>
      </c>
      <c r="G33" s="19"/>
      <c r="H33" s="19"/>
      <c r="I33" s="51"/>
    </row>
    <row r="34" s="1" customFormat="1" ht="21" customHeight="1" outlineLevel="1" spans="1:9">
      <c r="A34" s="13"/>
      <c r="B34" s="23"/>
      <c r="C34" s="15"/>
      <c r="D34" s="16">
        <v>0.4</v>
      </c>
      <c r="E34" s="17"/>
      <c r="F34" s="21" t="s">
        <v>51</v>
      </c>
      <c r="G34" s="19"/>
      <c r="H34" s="19"/>
      <c r="I34" s="51"/>
    </row>
    <row r="35" s="1" customFormat="1" ht="21" customHeight="1" outlineLevel="1" spans="1:9">
      <c r="A35" s="13"/>
      <c r="B35" s="23"/>
      <c r="C35" s="15"/>
      <c r="D35" s="16">
        <v>0.6</v>
      </c>
      <c r="E35" s="17" t="s">
        <v>52</v>
      </c>
      <c r="F35" s="21" t="s">
        <v>49</v>
      </c>
      <c r="G35" s="19"/>
      <c r="H35" s="19"/>
      <c r="I35" s="51"/>
    </row>
    <row r="36" s="1" customFormat="1" ht="21" customHeight="1" outlineLevel="1" spans="1:9">
      <c r="A36" s="13"/>
      <c r="B36" s="23"/>
      <c r="C36" s="15"/>
      <c r="D36" s="16">
        <v>0.67</v>
      </c>
      <c r="E36" s="17" t="s">
        <v>55</v>
      </c>
      <c r="F36" s="7" t="s">
        <v>56</v>
      </c>
      <c r="G36" s="19"/>
      <c r="H36" s="19"/>
      <c r="I36" s="28"/>
    </row>
    <row r="37" s="1" customFormat="1" ht="21" customHeight="1" outlineLevel="1" spans="1:9">
      <c r="A37" s="13" t="s">
        <v>61</v>
      </c>
      <c r="B37" s="22" t="s">
        <v>162</v>
      </c>
      <c r="C37" s="15" t="s">
        <v>30</v>
      </c>
      <c r="D37" s="16">
        <v>90.36</v>
      </c>
      <c r="E37" s="17" t="s">
        <v>31</v>
      </c>
      <c r="F37" s="21" t="s">
        <v>63</v>
      </c>
      <c r="G37" s="19"/>
      <c r="H37" s="19"/>
      <c r="I37" s="52"/>
    </row>
    <row r="38" s="1" customFormat="1" ht="21" customHeight="1" outlineLevel="1" spans="1:9">
      <c r="A38" s="13"/>
      <c r="B38" s="22"/>
      <c r="C38" s="15"/>
      <c r="D38" s="16">
        <v>391.84</v>
      </c>
      <c r="E38" s="17"/>
      <c r="F38" s="21" t="s">
        <v>38</v>
      </c>
      <c r="G38" s="19"/>
      <c r="H38" s="19"/>
      <c r="I38" s="52"/>
    </row>
    <row r="39" s="1" customFormat="1" ht="21" customHeight="1" outlineLevel="1" spans="1:9">
      <c r="A39" s="13"/>
      <c r="B39" s="22"/>
      <c r="C39" s="15"/>
      <c r="D39" s="16">
        <v>378.71</v>
      </c>
      <c r="E39" s="17"/>
      <c r="F39" s="8" t="s">
        <v>41</v>
      </c>
      <c r="G39" s="19"/>
      <c r="H39" s="19"/>
      <c r="I39" s="52"/>
    </row>
    <row r="40" s="1" customFormat="1" ht="21" customHeight="1" outlineLevel="1" spans="1:9">
      <c r="A40" s="13"/>
      <c r="B40" s="22"/>
      <c r="C40" s="15"/>
      <c r="D40" s="16">
        <v>314.31</v>
      </c>
      <c r="E40" s="17"/>
      <c r="F40" s="21" t="s">
        <v>43</v>
      </c>
      <c r="G40" s="19"/>
      <c r="H40" s="19"/>
      <c r="I40" s="52"/>
    </row>
    <row r="41" s="1" customFormat="1" ht="21" customHeight="1" outlineLevel="1" spans="1:9">
      <c r="A41" s="13"/>
      <c r="B41" s="22"/>
      <c r="C41" s="15"/>
      <c r="D41" s="16">
        <v>390.17</v>
      </c>
      <c r="E41" s="17"/>
      <c r="F41" s="21" t="s">
        <v>45</v>
      </c>
      <c r="G41" s="19"/>
      <c r="H41" s="19"/>
      <c r="I41" s="52"/>
    </row>
    <row r="42" s="1" customFormat="1" ht="21" customHeight="1" outlineLevel="1" spans="1:9">
      <c r="A42" s="13"/>
      <c r="B42" s="22"/>
      <c r="C42" s="15"/>
      <c r="D42" s="16">
        <v>114.16</v>
      </c>
      <c r="E42" s="17"/>
      <c r="F42" s="8" t="s">
        <v>46</v>
      </c>
      <c r="G42" s="19"/>
      <c r="H42" s="19"/>
      <c r="I42" s="52"/>
    </row>
    <row r="43" s="1" customFormat="1" ht="21" customHeight="1" outlineLevel="1" spans="1:9">
      <c r="A43" s="13"/>
      <c r="B43" s="22"/>
      <c r="C43" s="15"/>
      <c r="D43" s="16">
        <v>282.16</v>
      </c>
      <c r="E43" s="17" t="s">
        <v>48</v>
      </c>
      <c r="F43" s="21" t="s">
        <v>65</v>
      </c>
      <c r="G43" s="19"/>
      <c r="H43" s="19"/>
      <c r="I43" s="52"/>
    </row>
    <row r="44" s="1" customFormat="1" ht="21" customHeight="1" outlineLevel="1" spans="1:9">
      <c r="A44" s="13"/>
      <c r="B44" s="22"/>
      <c r="C44" s="15"/>
      <c r="D44" s="16">
        <v>207.7</v>
      </c>
      <c r="E44" s="17" t="s">
        <v>52</v>
      </c>
      <c r="F44" s="21" t="s">
        <v>49</v>
      </c>
      <c r="G44" s="19"/>
      <c r="H44" s="19"/>
      <c r="I44" s="52"/>
    </row>
    <row r="45" s="1" customFormat="1" ht="21" customHeight="1" outlineLevel="1" spans="1:9">
      <c r="A45" s="13"/>
      <c r="B45" s="22"/>
      <c r="C45" s="15"/>
      <c r="D45" s="16">
        <v>143.13</v>
      </c>
      <c r="E45" s="17"/>
      <c r="F45" s="21" t="s">
        <v>50</v>
      </c>
      <c r="G45" s="19"/>
      <c r="H45" s="19"/>
      <c r="I45" s="52"/>
    </row>
    <row r="46" s="1" customFormat="1" ht="21" customHeight="1" outlineLevel="1" spans="1:9">
      <c r="A46" s="13"/>
      <c r="B46" s="22"/>
      <c r="C46" s="15"/>
      <c r="D46" s="16">
        <v>306.82</v>
      </c>
      <c r="E46" s="17" t="s">
        <v>55</v>
      </c>
      <c r="F46" s="7" t="s">
        <v>56</v>
      </c>
      <c r="G46" s="19"/>
      <c r="H46" s="19"/>
      <c r="I46" s="52"/>
    </row>
    <row r="47" s="1" customFormat="1" ht="36" customHeight="1" outlineLevel="1" spans="1:10">
      <c r="A47" s="13" t="s">
        <v>61</v>
      </c>
      <c r="B47" s="22" t="s">
        <v>163</v>
      </c>
      <c r="C47" s="15" t="s">
        <v>30</v>
      </c>
      <c r="D47" s="16">
        <v>424.12</v>
      </c>
      <c r="E47" s="17" t="s">
        <v>39</v>
      </c>
      <c r="F47" s="21" t="s">
        <v>40</v>
      </c>
      <c r="G47" s="19"/>
      <c r="H47" s="19"/>
      <c r="I47" s="52" t="s">
        <v>164</v>
      </c>
      <c r="J47" s="53" t="s">
        <v>165</v>
      </c>
    </row>
    <row r="48" s="1" customFormat="1" ht="21" customHeight="1" outlineLevel="1" spans="1:9">
      <c r="A48" s="24" t="s">
        <v>61</v>
      </c>
      <c r="B48" s="25" t="s">
        <v>166</v>
      </c>
      <c r="C48" s="26" t="s">
        <v>30</v>
      </c>
      <c r="D48" s="16">
        <v>96.76</v>
      </c>
      <c r="E48" s="17" t="s">
        <v>31</v>
      </c>
      <c r="F48" s="21" t="s">
        <v>32</v>
      </c>
      <c r="G48" s="19"/>
      <c r="H48" s="19"/>
      <c r="I48" s="54" t="s">
        <v>67</v>
      </c>
    </row>
    <row r="49" s="1" customFormat="1" ht="21" customHeight="1" outlineLevel="1" spans="1:9">
      <c r="A49" s="27"/>
      <c r="B49" s="28"/>
      <c r="C49" s="29"/>
      <c r="D49" s="16">
        <v>23.76</v>
      </c>
      <c r="E49" s="17"/>
      <c r="F49" s="21" t="s">
        <v>34</v>
      </c>
      <c r="G49" s="19"/>
      <c r="H49" s="19"/>
      <c r="I49" s="55"/>
    </row>
    <row r="50" s="1" customFormat="1" ht="50" customHeight="1" outlineLevel="1" spans="1:9">
      <c r="A50" s="30" t="s">
        <v>61</v>
      </c>
      <c r="B50" s="31" t="s">
        <v>167</v>
      </c>
      <c r="C50" s="32" t="s">
        <v>30</v>
      </c>
      <c r="D50" s="16">
        <v>132.54</v>
      </c>
      <c r="E50" s="16" t="s">
        <v>39</v>
      </c>
      <c r="F50" s="21" t="s">
        <v>40</v>
      </c>
      <c r="G50" s="19"/>
      <c r="H50" s="19"/>
      <c r="I50" s="52" t="s">
        <v>168</v>
      </c>
    </row>
    <row r="51" s="1" customFormat="1" ht="21" customHeight="1" outlineLevel="1" spans="1:9">
      <c r="A51" s="33" t="s">
        <v>61</v>
      </c>
      <c r="B51" s="34" t="s">
        <v>169</v>
      </c>
      <c r="C51" s="26" t="s">
        <v>30</v>
      </c>
      <c r="D51" s="16">
        <v>1.06</v>
      </c>
      <c r="E51" s="35" t="s">
        <v>39</v>
      </c>
      <c r="F51" s="8" t="s">
        <v>59</v>
      </c>
      <c r="G51" s="19"/>
      <c r="H51" s="19"/>
      <c r="I51" s="7"/>
    </row>
    <row r="52" s="1" customFormat="1" ht="21" customHeight="1" outlineLevel="1" spans="1:9">
      <c r="A52" s="36"/>
      <c r="B52" s="37"/>
      <c r="C52" s="38"/>
      <c r="D52" s="16">
        <v>1.06</v>
      </c>
      <c r="E52" s="39"/>
      <c r="F52" s="8" t="s">
        <v>60</v>
      </c>
      <c r="G52" s="19"/>
      <c r="H52" s="19"/>
      <c r="I52" s="7"/>
    </row>
    <row r="53" s="1" customFormat="1" ht="21" customHeight="1" outlineLevel="1" spans="1:9">
      <c r="A53" s="36"/>
      <c r="B53" s="37"/>
      <c r="C53" s="38"/>
      <c r="D53" s="16">
        <v>1.63</v>
      </c>
      <c r="E53" s="39"/>
      <c r="F53" s="21" t="s">
        <v>68</v>
      </c>
      <c r="G53" s="19"/>
      <c r="H53" s="19"/>
      <c r="I53" s="7" t="s">
        <v>69</v>
      </c>
    </row>
    <row r="54" s="1" customFormat="1" ht="21" customHeight="1" outlineLevel="1" spans="1:9">
      <c r="A54" s="36"/>
      <c r="B54" s="37"/>
      <c r="C54" s="38"/>
      <c r="D54" s="16">
        <v>1.63</v>
      </c>
      <c r="E54" s="39"/>
      <c r="F54" s="21" t="s">
        <v>70</v>
      </c>
      <c r="G54" s="19"/>
      <c r="H54" s="19"/>
      <c r="I54" s="7" t="s">
        <v>71</v>
      </c>
    </row>
    <row r="55" s="1" customFormat="1" ht="21" customHeight="1" outlineLevel="1" spans="1:9">
      <c r="A55" s="36"/>
      <c r="B55" s="37"/>
      <c r="C55" s="38"/>
      <c r="D55" s="16">
        <v>1</v>
      </c>
      <c r="E55" s="40"/>
      <c r="F55" s="21" t="s">
        <v>72</v>
      </c>
      <c r="G55" s="19"/>
      <c r="H55" s="19"/>
      <c r="I55" s="7" t="s">
        <v>73</v>
      </c>
    </row>
    <row r="56" s="1" customFormat="1" ht="21" customHeight="1" outlineLevel="1" spans="1:9">
      <c r="A56" s="36"/>
      <c r="B56" s="37"/>
      <c r="C56" s="38"/>
      <c r="D56" s="16">
        <v>1</v>
      </c>
      <c r="E56" s="17" t="s">
        <v>52</v>
      </c>
      <c r="F56" s="8" t="s">
        <v>53</v>
      </c>
      <c r="G56" s="19"/>
      <c r="H56" s="19"/>
      <c r="I56" s="7" t="s">
        <v>73</v>
      </c>
    </row>
    <row r="57" s="1" customFormat="1" ht="21" customHeight="1" outlineLevel="1" spans="1:9">
      <c r="A57" s="36"/>
      <c r="B57" s="37"/>
      <c r="C57" s="38"/>
      <c r="D57" s="16">
        <v>146.85</v>
      </c>
      <c r="E57" s="17"/>
      <c r="F57" s="8" t="s">
        <v>51</v>
      </c>
      <c r="G57" s="19"/>
      <c r="H57" s="19"/>
      <c r="I57" s="7"/>
    </row>
    <row r="58" s="1" customFormat="1" ht="21" customHeight="1" outlineLevel="1" spans="1:9">
      <c r="A58" s="41"/>
      <c r="B58" s="42"/>
      <c r="C58" s="29"/>
      <c r="D58" s="16">
        <v>70.47</v>
      </c>
      <c r="E58" s="16" t="s">
        <v>55</v>
      </c>
      <c r="F58" s="7" t="s">
        <v>56</v>
      </c>
      <c r="G58" s="19"/>
      <c r="H58" s="19"/>
      <c r="I58" s="7"/>
    </row>
    <row r="59" s="1" customFormat="1" ht="21" customHeight="1" outlineLevel="1" spans="1:9">
      <c r="A59" s="24" t="s">
        <v>61</v>
      </c>
      <c r="B59" s="43" t="s">
        <v>170</v>
      </c>
      <c r="C59" s="15"/>
      <c r="D59" s="16">
        <v>287.86</v>
      </c>
      <c r="E59" s="44" t="s">
        <v>48</v>
      </c>
      <c r="F59" s="21" t="s">
        <v>49</v>
      </c>
      <c r="G59" s="19"/>
      <c r="H59" s="19"/>
      <c r="I59" s="54" t="s">
        <v>76</v>
      </c>
    </row>
    <row r="60" s="1" customFormat="1" ht="21" customHeight="1" outlineLevel="1" spans="1:9">
      <c r="A60" s="27"/>
      <c r="B60" s="43"/>
      <c r="C60" s="15"/>
      <c r="D60" s="16">
        <v>41.93</v>
      </c>
      <c r="E60" s="45"/>
      <c r="F60" s="21" t="s">
        <v>75</v>
      </c>
      <c r="G60" s="19"/>
      <c r="H60" s="19"/>
      <c r="I60" s="55"/>
    </row>
    <row r="61" s="1" customFormat="1" ht="21" customHeight="1" outlineLevel="1" spans="1:9">
      <c r="A61" s="13" t="s">
        <v>61</v>
      </c>
      <c r="B61" s="22" t="s">
        <v>171</v>
      </c>
      <c r="C61" s="15" t="s">
        <v>30</v>
      </c>
      <c r="D61" s="16">
        <v>0.2</v>
      </c>
      <c r="E61" s="17" t="s">
        <v>31</v>
      </c>
      <c r="F61" s="21" t="s">
        <v>32</v>
      </c>
      <c r="G61" s="19"/>
      <c r="H61" s="19"/>
      <c r="I61" s="54" t="s">
        <v>78</v>
      </c>
    </row>
    <row r="62" s="1" customFormat="1" ht="21" customHeight="1" outlineLevel="1" spans="1:9">
      <c r="A62" s="13"/>
      <c r="B62" s="22"/>
      <c r="C62" s="15"/>
      <c r="D62" s="16">
        <v>11.145</v>
      </c>
      <c r="E62" s="17" t="s">
        <v>39</v>
      </c>
      <c r="F62" s="21" t="s">
        <v>45</v>
      </c>
      <c r="G62" s="19"/>
      <c r="H62" s="19"/>
      <c r="I62" s="55"/>
    </row>
    <row r="63" s="1" customFormat="1" ht="21" customHeight="1" outlineLevel="1" spans="1:9">
      <c r="A63" s="13" t="s">
        <v>79</v>
      </c>
      <c r="B63" s="43" t="s">
        <v>172</v>
      </c>
      <c r="C63" s="15" t="s">
        <v>81</v>
      </c>
      <c r="D63" s="16">
        <v>4</v>
      </c>
      <c r="E63" s="17" t="s">
        <v>31</v>
      </c>
      <c r="F63" s="21" t="s">
        <v>32</v>
      </c>
      <c r="G63" s="19"/>
      <c r="H63" s="19"/>
      <c r="I63" s="54" t="s">
        <v>67</v>
      </c>
    </row>
    <row r="64" s="1" customFormat="1" ht="21" customHeight="1" outlineLevel="1" spans="1:9">
      <c r="A64" s="13"/>
      <c r="B64" s="43"/>
      <c r="C64" s="15"/>
      <c r="D64" s="16">
        <v>6</v>
      </c>
      <c r="E64" s="17"/>
      <c r="F64" s="21" t="s">
        <v>34</v>
      </c>
      <c r="G64" s="19"/>
      <c r="H64" s="19"/>
      <c r="I64" s="55"/>
    </row>
    <row r="65" s="1" customFormat="1" ht="21" customHeight="1" outlineLevel="1" spans="1:9">
      <c r="A65" s="13" t="s">
        <v>82</v>
      </c>
      <c r="B65" s="43" t="s">
        <v>173</v>
      </c>
      <c r="C65" s="15" t="s">
        <v>30</v>
      </c>
      <c r="D65" s="16">
        <v>101.98</v>
      </c>
      <c r="E65" s="17" t="s">
        <v>31</v>
      </c>
      <c r="F65" s="21" t="s">
        <v>63</v>
      </c>
      <c r="G65" s="19"/>
      <c r="H65" s="19"/>
      <c r="I65" s="54" t="s">
        <v>67</v>
      </c>
    </row>
    <row r="66" s="1" customFormat="1" ht="21" customHeight="1" outlineLevel="1" spans="1:9">
      <c r="A66" s="13"/>
      <c r="B66" s="43"/>
      <c r="C66" s="15"/>
      <c r="D66" s="16">
        <v>215.96</v>
      </c>
      <c r="E66" s="17"/>
      <c r="F66" s="21" t="s">
        <v>38</v>
      </c>
      <c r="G66" s="19"/>
      <c r="H66" s="19"/>
      <c r="I66" s="74"/>
    </row>
    <row r="67" s="1" customFormat="1" ht="21" customHeight="1" outlineLevel="1" spans="1:9">
      <c r="A67" s="13"/>
      <c r="B67" s="43"/>
      <c r="C67" s="15"/>
      <c r="D67" s="16">
        <v>4.41</v>
      </c>
      <c r="E67" s="17" t="s">
        <v>39</v>
      </c>
      <c r="F67" s="21" t="s">
        <v>45</v>
      </c>
      <c r="G67" s="19"/>
      <c r="H67" s="19"/>
      <c r="I67" s="55"/>
    </row>
    <row r="68" s="1" customFormat="1" ht="21" customHeight="1" outlineLevel="1" spans="1:9">
      <c r="A68" s="13" t="s">
        <v>84</v>
      </c>
      <c r="B68" s="43" t="s">
        <v>174</v>
      </c>
      <c r="C68" s="15" t="s">
        <v>30</v>
      </c>
      <c r="D68" s="16">
        <v>5.88</v>
      </c>
      <c r="E68" s="17" t="s">
        <v>31</v>
      </c>
      <c r="F68" s="21" t="s">
        <v>38</v>
      </c>
      <c r="G68" s="19"/>
      <c r="H68" s="19"/>
      <c r="I68" s="54" t="s">
        <v>175</v>
      </c>
    </row>
    <row r="69" s="1" customFormat="1" ht="21" customHeight="1" outlineLevel="1" spans="1:9">
      <c r="A69" s="13"/>
      <c r="B69" s="43"/>
      <c r="C69" s="15"/>
      <c r="D69" s="16">
        <v>458.17</v>
      </c>
      <c r="E69" s="17" t="s">
        <v>39</v>
      </c>
      <c r="F69" s="21" t="s">
        <v>40</v>
      </c>
      <c r="G69" s="19"/>
      <c r="H69" s="19"/>
      <c r="I69" s="74"/>
    </row>
    <row r="70" s="1" customFormat="1" ht="21" customHeight="1" outlineLevel="1" spans="1:9">
      <c r="A70" s="13"/>
      <c r="B70" s="43"/>
      <c r="C70" s="15"/>
      <c r="D70" s="16">
        <v>436.39</v>
      </c>
      <c r="E70" s="17"/>
      <c r="F70" s="8" t="s">
        <v>41</v>
      </c>
      <c r="G70" s="19"/>
      <c r="H70" s="19"/>
      <c r="I70" s="74"/>
    </row>
    <row r="71" s="1" customFormat="1" ht="21" customHeight="1" outlineLevel="1" spans="1:9">
      <c r="A71" s="13"/>
      <c r="B71" s="43"/>
      <c r="C71" s="15"/>
      <c r="D71" s="16">
        <v>200.02</v>
      </c>
      <c r="E71" s="17"/>
      <c r="F71" s="21" t="s">
        <v>43</v>
      </c>
      <c r="G71" s="19"/>
      <c r="H71" s="19"/>
      <c r="I71" s="74"/>
    </row>
    <row r="72" s="1" customFormat="1" ht="21" customHeight="1" outlineLevel="1" spans="1:9">
      <c r="A72" s="13"/>
      <c r="B72" s="43"/>
      <c r="C72" s="15"/>
      <c r="D72" s="16">
        <v>329.54</v>
      </c>
      <c r="E72" s="17"/>
      <c r="F72" s="21" t="s">
        <v>45</v>
      </c>
      <c r="G72" s="19"/>
      <c r="H72" s="19"/>
      <c r="I72" s="74"/>
    </row>
    <row r="73" s="1" customFormat="1" ht="21" customHeight="1" outlineLevel="1" spans="1:9">
      <c r="A73" s="13"/>
      <c r="B73" s="43"/>
      <c r="C73" s="15"/>
      <c r="D73" s="16">
        <v>255.25</v>
      </c>
      <c r="E73" s="17" t="s">
        <v>48</v>
      </c>
      <c r="F73" s="21" t="s">
        <v>49</v>
      </c>
      <c r="G73" s="19"/>
      <c r="H73" s="19"/>
      <c r="I73" s="74"/>
    </row>
    <row r="74" s="1" customFormat="1" ht="21" customHeight="1" outlineLevel="1" spans="1:9">
      <c r="A74" s="13"/>
      <c r="B74" s="43"/>
      <c r="C74" s="15"/>
      <c r="D74" s="16">
        <v>105.28</v>
      </c>
      <c r="E74" s="17"/>
      <c r="F74" s="21" t="s">
        <v>54</v>
      </c>
      <c r="G74" s="19"/>
      <c r="H74" s="19"/>
      <c r="I74" s="74"/>
    </row>
    <row r="75" s="1" customFormat="1" ht="21" customHeight="1" outlineLevel="1" spans="1:9">
      <c r="A75" s="13"/>
      <c r="B75" s="43"/>
      <c r="C75" s="15"/>
      <c r="D75" s="16">
        <v>44.16</v>
      </c>
      <c r="E75" s="17" t="s">
        <v>52</v>
      </c>
      <c r="F75" s="21" t="s">
        <v>49</v>
      </c>
      <c r="G75" s="19"/>
      <c r="H75" s="19"/>
      <c r="I75" s="55"/>
    </row>
    <row r="76" s="1" customFormat="1" ht="21" customHeight="1" outlineLevel="1" spans="1:9">
      <c r="A76" s="13" t="s">
        <v>87</v>
      </c>
      <c r="B76" s="43" t="s">
        <v>176</v>
      </c>
      <c r="C76" s="15" t="s">
        <v>30</v>
      </c>
      <c r="D76" s="16">
        <v>16.88</v>
      </c>
      <c r="E76" s="17" t="s">
        <v>48</v>
      </c>
      <c r="F76" s="21" t="s">
        <v>89</v>
      </c>
      <c r="G76" s="19"/>
      <c r="H76" s="19"/>
      <c r="I76" s="7" t="s">
        <v>90</v>
      </c>
    </row>
    <row r="77" s="1" customFormat="1" ht="21" customHeight="1" outlineLevel="1" spans="1:9">
      <c r="A77" s="13"/>
      <c r="B77" s="56"/>
      <c r="C77" s="15"/>
      <c r="D77" s="16">
        <v>7</v>
      </c>
      <c r="E77" s="17"/>
      <c r="F77" s="21" t="s">
        <v>91</v>
      </c>
      <c r="G77" s="19"/>
      <c r="H77" s="19"/>
      <c r="I77" s="7" t="s">
        <v>69</v>
      </c>
    </row>
    <row r="78" s="1" customFormat="1" ht="21" customHeight="1" outlineLevel="1" spans="1:9">
      <c r="A78" s="13"/>
      <c r="B78" s="56"/>
      <c r="C78" s="15"/>
      <c r="D78" s="16">
        <v>20.3</v>
      </c>
      <c r="E78" s="17"/>
      <c r="F78" s="21" t="s">
        <v>92</v>
      </c>
      <c r="G78" s="19"/>
      <c r="H78" s="19"/>
      <c r="I78" s="7" t="s">
        <v>67</v>
      </c>
    </row>
    <row r="79" s="1" customFormat="1" ht="21" customHeight="1" outlineLevel="1" spans="1:9">
      <c r="A79" s="13" t="s">
        <v>93</v>
      </c>
      <c r="B79" s="22" t="s">
        <v>177</v>
      </c>
      <c r="C79" s="15" t="s">
        <v>30</v>
      </c>
      <c r="D79" s="16">
        <v>3.4</v>
      </c>
      <c r="E79" s="17" t="s">
        <v>55</v>
      </c>
      <c r="F79" s="7" t="s">
        <v>95</v>
      </c>
      <c r="G79" s="19"/>
      <c r="H79" s="19"/>
      <c r="I79" s="54" t="s">
        <v>90</v>
      </c>
    </row>
    <row r="80" s="1" customFormat="1" ht="21" customHeight="1" outlineLevel="1" spans="1:9">
      <c r="A80" s="13"/>
      <c r="B80" s="22"/>
      <c r="C80" s="15"/>
      <c r="D80" s="16">
        <v>12.84</v>
      </c>
      <c r="E80" s="17"/>
      <c r="F80" s="7" t="s">
        <v>96</v>
      </c>
      <c r="G80" s="19"/>
      <c r="H80" s="19"/>
      <c r="I80" s="55"/>
    </row>
    <row r="81" s="1" customFormat="1" ht="21" customHeight="1" outlineLevel="1" spans="1:9">
      <c r="A81" s="13" t="s">
        <v>97</v>
      </c>
      <c r="B81" s="43" t="s">
        <v>174</v>
      </c>
      <c r="C81" s="15" t="s">
        <v>30</v>
      </c>
      <c r="D81" s="16">
        <v>9.085</v>
      </c>
      <c r="E81" s="17" t="s">
        <v>39</v>
      </c>
      <c r="F81" s="21" t="s">
        <v>98</v>
      </c>
      <c r="G81" s="19"/>
      <c r="H81" s="19"/>
      <c r="I81" s="54" t="s">
        <v>175</v>
      </c>
    </row>
    <row r="82" s="1" customFormat="1" ht="21" customHeight="1" outlineLevel="1" spans="1:9">
      <c r="A82" s="13"/>
      <c r="B82" s="43"/>
      <c r="C82" s="15"/>
      <c r="D82" s="16">
        <v>9.80392156862745</v>
      </c>
      <c r="E82" s="17"/>
      <c r="F82" s="21" t="s">
        <v>99</v>
      </c>
      <c r="G82" s="19"/>
      <c r="H82" s="19"/>
      <c r="I82" s="74"/>
    </row>
    <row r="83" s="1" customFormat="1" ht="21" customHeight="1" outlineLevel="1" spans="1:9">
      <c r="A83" s="13"/>
      <c r="B83" s="43"/>
      <c r="C83" s="15"/>
      <c r="D83" s="16">
        <v>5.90196078431372</v>
      </c>
      <c r="E83" s="17"/>
      <c r="F83" s="21" t="s">
        <v>100</v>
      </c>
      <c r="G83" s="19"/>
      <c r="H83" s="19"/>
      <c r="I83" s="55"/>
    </row>
    <row r="84" s="1" customFormat="1" ht="21" customHeight="1" outlineLevel="1" spans="1:9">
      <c r="A84" s="13" t="s">
        <v>101</v>
      </c>
      <c r="B84" s="22" t="s">
        <v>178</v>
      </c>
      <c r="C84" s="15" t="s">
        <v>30</v>
      </c>
      <c r="D84" s="16">
        <v>1.3</v>
      </c>
      <c r="E84" s="17" t="s">
        <v>31</v>
      </c>
      <c r="F84" s="21" t="s">
        <v>32</v>
      </c>
      <c r="G84" s="19"/>
      <c r="H84" s="19"/>
      <c r="I84" s="25" t="s">
        <v>179</v>
      </c>
    </row>
    <row r="85" s="1" customFormat="1" ht="21" customHeight="1" outlineLevel="1" spans="1:9">
      <c r="A85" s="13"/>
      <c r="B85" s="22"/>
      <c r="C85" s="15"/>
      <c r="D85" s="16">
        <v>2.52</v>
      </c>
      <c r="E85" s="17"/>
      <c r="F85" s="18" t="s">
        <v>34</v>
      </c>
      <c r="G85" s="19"/>
      <c r="H85" s="19"/>
      <c r="I85" s="51"/>
    </row>
    <row r="86" s="1" customFormat="1" ht="21" customHeight="1" outlineLevel="1" spans="1:9">
      <c r="A86" s="13"/>
      <c r="B86" s="22"/>
      <c r="C86" s="15"/>
      <c r="D86" s="16">
        <v>1.08</v>
      </c>
      <c r="E86" s="17"/>
      <c r="F86" s="18" t="s">
        <v>35</v>
      </c>
      <c r="G86" s="19"/>
      <c r="H86" s="19"/>
      <c r="I86" s="51"/>
    </row>
    <row r="87" s="1" customFormat="1" ht="21" customHeight="1" outlineLevel="1" spans="1:9">
      <c r="A87" s="13"/>
      <c r="B87" s="22"/>
      <c r="C87" s="15"/>
      <c r="D87" s="16">
        <v>3.96</v>
      </c>
      <c r="E87" s="17"/>
      <c r="F87" s="18" t="s">
        <v>36</v>
      </c>
      <c r="G87" s="19"/>
      <c r="H87" s="19"/>
      <c r="I87" s="51"/>
    </row>
    <row r="88" s="1" customFormat="1" ht="21" customHeight="1" outlineLevel="1" spans="1:9">
      <c r="A88" s="13"/>
      <c r="B88" s="22"/>
      <c r="C88" s="15"/>
      <c r="D88" s="16">
        <v>1.32</v>
      </c>
      <c r="E88" s="17"/>
      <c r="F88" s="18" t="s">
        <v>37</v>
      </c>
      <c r="G88" s="19"/>
      <c r="H88" s="19"/>
      <c r="I88" s="51"/>
    </row>
    <row r="89" s="1" customFormat="1" ht="21" customHeight="1" outlineLevel="1" spans="1:9">
      <c r="A89" s="13"/>
      <c r="B89" s="22"/>
      <c r="C89" s="15"/>
      <c r="D89" s="16">
        <v>0.84</v>
      </c>
      <c r="E89" s="17" t="s">
        <v>39</v>
      </c>
      <c r="F89" s="18" t="s">
        <v>40</v>
      </c>
      <c r="G89" s="19"/>
      <c r="H89" s="19"/>
      <c r="I89" s="51"/>
    </row>
    <row r="90" s="1" customFormat="1" ht="21" customHeight="1" outlineLevel="1" spans="1:9">
      <c r="A90" s="13"/>
      <c r="B90" s="22"/>
      <c r="C90" s="15"/>
      <c r="D90" s="16">
        <v>1.28</v>
      </c>
      <c r="E90" s="17"/>
      <c r="F90" s="18" t="s">
        <v>44</v>
      </c>
      <c r="G90" s="19"/>
      <c r="H90" s="19"/>
      <c r="I90" s="51"/>
    </row>
    <row r="91" s="1" customFormat="1" ht="21" customHeight="1" outlineLevel="1" spans="1:9">
      <c r="A91" s="13"/>
      <c r="B91" s="22"/>
      <c r="C91" s="15"/>
      <c r="D91" s="16">
        <v>12.488</v>
      </c>
      <c r="E91" s="17"/>
      <c r="F91" s="18" t="s">
        <v>104</v>
      </c>
      <c r="G91" s="19"/>
      <c r="H91" s="19"/>
      <c r="I91" s="51"/>
    </row>
    <row r="92" s="1" customFormat="1" ht="21" customHeight="1" outlineLevel="1" spans="1:9">
      <c r="A92" s="13"/>
      <c r="B92" s="22"/>
      <c r="C92" s="15"/>
      <c r="D92" s="16">
        <v>6.864</v>
      </c>
      <c r="E92" s="17"/>
      <c r="F92" s="57" t="s">
        <v>59</v>
      </c>
      <c r="G92" s="19"/>
      <c r="H92" s="19"/>
      <c r="I92" s="51"/>
    </row>
    <row r="93" s="1" customFormat="1" ht="21" customHeight="1" outlineLevel="1" spans="1:9">
      <c r="A93" s="13"/>
      <c r="B93" s="22"/>
      <c r="C93" s="15"/>
      <c r="D93" s="16">
        <v>1.8</v>
      </c>
      <c r="E93" s="17"/>
      <c r="F93" s="8" t="s">
        <v>60</v>
      </c>
      <c r="G93" s="19"/>
      <c r="H93" s="19"/>
      <c r="I93" s="51"/>
    </row>
    <row r="94" s="1" customFormat="1" ht="21" customHeight="1" outlineLevel="1" spans="1:9">
      <c r="A94" s="13"/>
      <c r="B94" s="22"/>
      <c r="C94" s="15"/>
      <c r="D94" s="16">
        <v>3.52</v>
      </c>
      <c r="E94" s="17"/>
      <c r="F94" s="21" t="s">
        <v>105</v>
      </c>
      <c r="G94" s="19"/>
      <c r="H94" s="19"/>
      <c r="I94" s="51"/>
    </row>
    <row r="95" s="1" customFormat="1" ht="21" customHeight="1" outlineLevel="1" spans="1:9">
      <c r="A95" s="13"/>
      <c r="B95" s="22"/>
      <c r="C95" s="15"/>
      <c r="D95" s="16">
        <v>3.712</v>
      </c>
      <c r="E95" s="17" t="s">
        <v>48</v>
      </c>
      <c r="F95" s="21" t="s">
        <v>49</v>
      </c>
      <c r="G95" s="19"/>
      <c r="H95" s="19"/>
      <c r="I95" s="51"/>
    </row>
    <row r="96" s="1" customFormat="1" ht="21" customHeight="1" outlineLevel="1" spans="1:9">
      <c r="A96" s="13"/>
      <c r="B96" s="22"/>
      <c r="C96" s="15"/>
      <c r="D96" s="16">
        <v>5.6</v>
      </c>
      <c r="E96" s="17"/>
      <c r="F96" s="21" t="s">
        <v>50</v>
      </c>
      <c r="G96" s="19"/>
      <c r="H96" s="19"/>
      <c r="I96" s="51"/>
    </row>
    <row r="97" s="1" customFormat="1" ht="21" customHeight="1" outlineLevel="1" spans="1:9">
      <c r="A97" s="13"/>
      <c r="B97" s="22"/>
      <c r="C97" s="15"/>
      <c r="D97" s="16">
        <v>1.6</v>
      </c>
      <c r="E97" s="17"/>
      <c r="F97" s="21" t="s">
        <v>106</v>
      </c>
      <c r="G97" s="19"/>
      <c r="H97" s="19"/>
      <c r="I97" s="51"/>
    </row>
    <row r="98" s="1" customFormat="1" ht="21" customHeight="1" outlineLevel="1" spans="1:9">
      <c r="A98" s="13"/>
      <c r="B98" s="22"/>
      <c r="C98" s="15"/>
      <c r="D98" s="16">
        <v>5.6</v>
      </c>
      <c r="E98" s="17" t="s">
        <v>52</v>
      </c>
      <c r="F98" s="8" t="s">
        <v>53</v>
      </c>
      <c r="G98" s="19"/>
      <c r="H98" s="19"/>
      <c r="I98" s="51"/>
    </row>
    <row r="99" s="1" customFormat="1" ht="21" customHeight="1" outlineLevel="1" spans="1:9">
      <c r="A99" s="13"/>
      <c r="B99" s="22"/>
      <c r="C99" s="15"/>
      <c r="D99" s="16">
        <v>2.943</v>
      </c>
      <c r="E99" s="17"/>
      <c r="F99" s="21" t="s">
        <v>107</v>
      </c>
      <c r="G99" s="19"/>
      <c r="H99" s="19"/>
      <c r="I99" s="51"/>
    </row>
    <row r="100" s="1" customFormat="1" ht="21" customHeight="1" outlineLevel="1" spans="1:9">
      <c r="A100" s="13"/>
      <c r="B100" s="22"/>
      <c r="C100" s="15"/>
      <c r="D100" s="16">
        <v>3.776</v>
      </c>
      <c r="E100" s="17" t="s">
        <v>55</v>
      </c>
      <c r="F100" s="7" t="s">
        <v>56</v>
      </c>
      <c r="G100" s="19"/>
      <c r="H100" s="19"/>
      <c r="I100" s="28"/>
    </row>
    <row r="101" s="1" customFormat="1" ht="21" customHeight="1" outlineLevel="1" spans="1:9">
      <c r="A101" s="13" t="s">
        <v>28</v>
      </c>
      <c r="B101" s="22" t="s">
        <v>180</v>
      </c>
      <c r="C101" s="15" t="s">
        <v>30</v>
      </c>
      <c r="D101" s="16">
        <v>2.72</v>
      </c>
      <c r="E101" s="17" t="s">
        <v>48</v>
      </c>
      <c r="F101" s="21" t="s">
        <v>49</v>
      </c>
      <c r="G101" s="19"/>
      <c r="H101" s="19"/>
      <c r="I101" s="75" t="s">
        <v>73</v>
      </c>
    </row>
    <row r="102" s="1" customFormat="1" ht="21" customHeight="1" outlineLevel="1" spans="1:9">
      <c r="A102" s="13"/>
      <c r="B102" s="22"/>
      <c r="C102" s="15"/>
      <c r="D102" s="16">
        <v>2.25</v>
      </c>
      <c r="E102" s="17" t="s">
        <v>52</v>
      </c>
      <c r="F102" s="21" t="s">
        <v>49</v>
      </c>
      <c r="G102" s="19"/>
      <c r="H102" s="19"/>
      <c r="I102" s="76"/>
    </row>
    <row r="103" ht="21" customHeight="1" spans="1:9">
      <c r="A103" s="15" t="s">
        <v>109</v>
      </c>
      <c r="B103" s="56"/>
      <c r="C103" s="58"/>
      <c r="D103" s="9"/>
      <c r="E103" s="9"/>
      <c r="F103" s="8"/>
      <c r="G103" s="19"/>
      <c r="H103" s="19"/>
      <c r="I103" s="8"/>
    </row>
    <row r="104" s="1" customFormat="1" ht="21" customHeight="1" outlineLevel="1" spans="1:9">
      <c r="A104" s="24" t="s">
        <v>28</v>
      </c>
      <c r="B104" s="59" t="s">
        <v>180</v>
      </c>
      <c r="C104" s="48" t="s">
        <v>30</v>
      </c>
      <c r="D104" s="16">
        <v>9.63</v>
      </c>
      <c r="E104" s="17" t="s">
        <v>31</v>
      </c>
      <c r="F104" s="7" t="s">
        <v>110</v>
      </c>
      <c r="G104" s="19"/>
      <c r="H104" s="19"/>
      <c r="I104" s="77"/>
    </row>
    <row r="105" s="1" customFormat="1" ht="21" customHeight="1" outlineLevel="1" spans="1:9">
      <c r="A105" s="60"/>
      <c r="B105" s="61"/>
      <c r="C105" s="49"/>
      <c r="D105" s="16">
        <v>6.22</v>
      </c>
      <c r="E105" s="17"/>
      <c r="F105" s="7" t="s">
        <v>111</v>
      </c>
      <c r="G105" s="19"/>
      <c r="H105" s="19"/>
      <c r="I105" s="78"/>
    </row>
    <row r="106" s="1" customFormat="1" ht="21" customHeight="1" outlineLevel="1" spans="1:9">
      <c r="A106" s="60"/>
      <c r="B106" s="61"/>
      <c r="C106" s="49"/>
      <c r="D106" s="16">
        <v>7.69</v>
      </c>
      <c r="E106" s="17"/>
      <c r="F106" s="7" t="s">
        <v>111</v>
      </c>
      <c r="G106" s="19"/>
      <c r="H106" s="19"/>
      <c r="I106" s="78"/>
    </row>
    <row r="107" s="1" customFormat="1" ht="21" customHeight="1" outlineLevel="1" spans="1:9">
      <c r="A107" s="60"/>
      <c r="B107" s="61"/>
      <c r="C107" s="49"/>
      <c r="D107" s="16">
        <v>197.53</v>
      </c>
      <c r="E107" s="17"/>
      <c r="F107" s="62" t="s">
        <v>112</v>
      </c>
      <c r="G107" s="19"/>
      <c r="H107" s="19"/>
      <c r="I107" s="78"/>
    </row>
    <row r="108" s="1" customFormat="1" ht="21" customHeight="1" outlineLevel="1" spans="1:9">
      <c r="A108" s="60"/>
      <c r="B108" s="61"/>
      <c r="C108" s="49"/>
      <c r="D108" s="16">
        <v>0.22</v>
      </c>
      <c r="E108" s="17"/>
      <c r="F108" s="7" t="s">
        <v>113</v>
      </c>
      <c r="G108" s="19"/>
      <c r="H108" s="19"/>
      <c r="I108" s="78"/>
    </row>
    <row r="109" s="1" customFormat="1" ht="21" customHeight="1" outlineLevel="1" spans="1:9">
      <c r="A109" s="60"/>
      <c r="B109" s="61"/>
      <c r="C109" s="49"/>
      <c r="D109" s="16">
        <v>6.87</v>
      </c>
      <c r="E109" s="17"/>
      <c r="F109" s="7" t="s">
        <v>114</v>
      </c>
      <c r="G109" s="19"/>
      <c r="H109" s="19"/>
      <c r="I109" s="78"/>
    </row>
    <row r="110" s="1" customFormat="1" ht="21" customHeight="1" outlineLevel="1" spans="1:9">
      <c r="A110" s="60"/>
      <c r="B110" s="61"/>
      <c r="C110" s="49"/>
      <c r="D110" s="16">
        <v>0.58</v>
      </c>
      <c r="E110" s="17"/>
      <c r="F110" s="7" t="s">
        <v>115</v>
      </c>
      <c r="G110" s="19"/>
      <c r="H110" s="19"/>
      <c r="I110" s="78"/>
    </row>
    <row r="111" s="1" customFormat="1" ht="21" customHeight="1" outlineLevel="1" spans="1:9">
      <c r="A111" s="60"/>
      <c r="B111" s="61"/>
      <c r="C111" s="49"/>
      <c r="D111" s="16">
        <v>49.39</v>
      </c>
      <c r="E111" s="17" t="s">
        <v>39</v>
      </c>
      <c r="F111" s="21" t="s">
        <v>49</v>
      </c>
      <c r="G111" s="19"/>
      <c r="H111" s="19"/>
      <c r="I111" s="78"/>
    </row>
    <row r="112" s="1" customFormat="1" ht="21" customHeight="1" outlineLevel="1" spans="1:9">
      <c r="A112" s="60"/>
      <c r="B112" s="61"/>
      <c r="C112" s="49"/>
      <c r="D112" s="16">
        <v>0.98</v>
      </c>
      <c r="E112" s="17"/>
      <c r="F112" s="21" t="s">
        <v>50</v>
      </c>
      <c r="G112" s="19"/>
      <c r="H112" s="19"/>
      <c r="I112" s="78"/>
    </row>
    <row r="113" s="1" customFormat="1" ht="21" customHeight="1" outlineLevel="1" spans="1:9">
      <c r="A113" s="60"/>
      <c r="B113" s="61"/>
      <c r="C113" s="49"/>
      <c r="D113" s="16">
        <v>2.58</v>
      </c>
      <c r="E113" s="17"/>
      <c r="F113" s="21" t="s">
        <v>106</v>
      </c>
      <c r="G113" s="19"/>
      <c r="H113" s="19"/>
      <c r="I113" s="78"/>
    </row>
    <row r="114" s="1" customFormat="1" ht="21" customHeight="1" outlineLevel="1" spans="1:9">
      <c r="A114" s="60"/>
      <c r="B114" s="61"/>
      <c r="C114" s="49"/>
      <c r="D114" s="16">
        <v>1.79</v>
      </c>
      <c r="E114" s="17"/>
      <c r="F114" s="21" t="s">
        <v>116</v>
      </c>
      <c r="G114" s="19"/>
      <c r="H114" s="19"/>
      <c r="I114" s="78"/>
    </row>
    <row r="115" s="1" customFormat="1" ht="21" customHeight="1" outlineLevel="1" spans="1:9">
      <c r="A115" s="27"/>
      <c r="B115" s="63"/>
      <c r="C115" s="50"/>
      <c r="D115" s="16">
        <v>4.26</v>
      </c>
      <c r="E115" s="17"/>
      <c r="F115" s="21" t="s">
        <v>117</v>
      </c>
      <c r="G115" s="19"/>
      <c r="H115" s="19"/>
      <c r="I115" s="79"/>
    </row>
    <row r="116" s="1" customFormat="1" ht="21" customHeight="1" outlineLevel="1" spans="1:9">
      <c r="A116" s="64" t="s">
        <v>57</v>
      </c>
      <c r="B116" s="59" t="s">
        <v>161</v>
      </c>
      <c r="C116" s="64" t="s">
        <v>30</v>
      </c>
      <c r="D116" s="16">
        <v>1.45</v>
      </c>
      <c r="E116" s="17" t="s">
        <v>31</v>
      </c>
      <c r="F116" s="7" t="s">
        <v>115</v>
      </c>
      <c r="G116" s="19"/>
      <c r="H116" s="19"/>
      <c r="I116" s="77"/>
    </row>
    <row r="117" s="1" customFormat="1" ht="21" customHeight="1" outlineLevel="1" spans="1:9">
      <c r="A117" s="65"/>
      <c r="B117" s="66"/>
      <c r="C117" s="65"/>
      <c r="D117" s="16">
        <v>0.24</v>
      </c>
      <c r="E117" s="16"/>
      <c r="F117" s="21" t="s">
        <v>106</v>
      </c>
      <c r="G117" s="19"/>
      <c r="H117" s="19"/>
      <c r="I117" s="78"/>
    </row>
    <row r="118" s="1" customFormat="1" ht="21" customHeight="1" outlineLevel="1" spans="1:9">
      <c r="A118" s="67"/>
      <c r="B118" s="68"/>
      <c r="C118" s="67"/>
      <c r="D118" s="16">
        <v>1.12</v>
      </c>
      <c r="E118" s="16" t="s">
        <v>39</v>
      </c>
      <c r="F118" s="21" t="s">
        <v>118</v>
      </c>
      <c r="G118" s="19"/>
      <c r="H118" s="19"/>
      <c r="I118" s="79"/>
    </row>
    <row r="119" s="1" customFormat="1" ht="21" customHeight="1" outlineLevel="1" spans="1:9">
      <c r="A119" s="24" t="s">
        <v>119</v>
      </c>
      <c r="B119" s="59" t="s">
        <v>181</v>
      </c>
      <c r="C119" s="69" t="s">
        <v>30</v>
      </c>
      <c r="D119" s="16">
        <v>3.79</v>
      </c>
      <c r="E119" s="17" t="s">
        <v>31</v>
      </c>
      <c r="F119" s="7" t="s">
        <v>120</v>
      </c>
      <c r="G119" s="19"/>
      <c r="H119" s="19"/>
      <c r="I119" s="80"/>
    </row>
    <row r="120" s="1" customFormat="1" ht="21" customHeight="1" outlineLevel="1" spans="1:9">
      <c r="A120" s="60"/>
      <c r="B120" s="70"/>
      <c r="C120" s="71"/>
      <c r="D120" s="16">
        <v>985.98</v>
      </c>
      <c r="E120" s="17" t="s">
        <v>39</v>
      </c>
      <c r="F120" s="21" t="s">
        <v>49</v>
      </c>
      <c r="G120" s="19"/>
      <c r="H120" s="19"/>
      <c r="I120" s="81"/>
    </row>
    <row r="121" s="1" customFormat="1" ht="21" customHeight="1" outlineLevel="1" spans="1:9">
      <c r="A121" s="60"/>
      <c r="B121" s="70"/>
      <c r="C121" s="71"/>
      <c r="D121" s="16">
        <v>37.4</v>
      </c>
      <c r="E121" s="17"/>
      <c r="F121" s="21" t="s">
        <v>121</v>
      </c>
      <c r="G121" s="19"/>
      <c r="H121" s="19"/>
      <c r="I121" s="81"/>
    </row>
    <row r="122" s="1" customFormat="1" ht="21" customHeight="1" outlineLevel="1" spans="1:9">
      <c r="A122" s="60"/>
      <c r="B122" s="70"/>
      <c r="C122" s="71"/>
      <c r="D122" s="16">
        <v>2.98</v>
      </c>
      <c r="E122" s="17"/>
      <c r="F122" s="21" t="s">
        <v>122</v>
      </c>
      <c r="G122" s="19"/>
      <c r="H122" s="19"/>
      <c r="I122" s="81"/>
    </row>
    <row r="123" s="1" customFormat="1" ht="21" customHeight="1" outlineLevel="1" spans="1:9">
      <c r="A123" s="60"/>
      <c r="B123" s="70"/>
      <c r="C123" s="71"/>
      <c r="D123" s="16">
        <v>241.9</v>
      </c>
      <c r="E123" s="17"/>
      <c r="F123" s="21" t="s">
        <v>50</v>
      </c>
      <c r="G123" s="19"/>
      <c r="H123" s="19"/>
      <c r="I123" s="81"/>
    </row>
    <row r="124" s="1" customFormat="1" ht="21" customHeight="1" outlineLevel="1" spans="1:9">
      <c r="A124" s="27"/>
      <c r="B124" s="72"/>
      <c r="C124" s="73"/>
      <c r="D124" s="16">
        <v>211.56</v>
      </c>
      <c r="E124" s="17"/>
      <c r="F124" s="7" t="s">
        <v>118</v>
      </c>
      <c r="G124" s="19"/>
      <c r="H124" s="19"/>
      <c r="I124" s="82"/>
    </row>
    <row r="125" s="1" customFormat="1" ht="105" customHeight="1" outlineLevel="1" spans="1:9">
      <c r="A125" s="13" t="s">
        <v>123</v>
      </c>
      <c r="B125" s="43" t="s">
        <v>166</v>
      </c>
      <c r="C125" s="15" t="s">
        <v>30</v>
      </c>
      <c r="D125" s="16">
        <v>312.41</v>
      </c>
      <c r="E125" s="17" t="s">
        <v>39</v>
      </c>
      <c r="F125" s="21" t="s">
        <v>49</v>
      </c>
      <c r="G125" s="19"/>
      <c r="H125" s="19"/>
      <c r="I125" s="8"/>
    </row>
    <row r="126" s="1" customFormat="1" ht="21" customHeight="1" outlineLevel="1" spans="1:9">
      <c r="A126" s="24" t="s">
        <v>79</v>
      </c>
      <c r="B126" s="59" t="s">
        <v>182</v>
      </c>
      <c r="C126" s="24" t="s">
        <v>30</v>
      </c>
      <c r="D126" s="16">
        <v>4</v>
      </c>
      <c r="E126" s="17" t="s">
        <v>31</v>
      </c>
      <c r="F126" s="21" t="s">
        <v>111</v>
      </c>
      <c r="G126" s="19"/>
      <c r="H126" s="19"/>
      <c r="I126" s="8"/>
    </row>
    <row r="127" s="1" customFormat="1" ht="21" customHeight="1" outlineLevel="1" spans="1:9">
      <c r="A127" s="60"/>
      <c r="B127" s="70"/>
      <c r="C127" s="60"/>
      <c r="D127" s="16">
        <v>0.6</v>
      </c>
      <c r="E127" s="17"/>
      <c r="F127" s="21" t="s">
        <v>111</v>
      </c>
      <c r="G127" s="19"/>
      <c r="H127" s="19"/>
      <c r="I127" s="8"/>
    </row>
    <row r="128" s="1" customFormat="1" ht="21" customHeight="1" outlineLevel="1" spans="1:9">
      <c r="A128" s="60"/>
      <c r="B128" s="70"/>
      <c r="C128" s="60"/>
      <c r="D128" s="16">
        <v>26.21</v>
      </c>
      <c r="E128" s="17" t="s">
        <v>39</v>
      </c>
      <c r="F128" s="21" t="s">
        <v>50</v>
      </c>
      <c r="G128" s="19"/>
      <c r="H128" s="19"/>
      <c r="I128" s="8"/>
    </row>
    <row r="129" s="1" customFormat="1" ht="21" customHeight="1" outlineLevel="1" spans="1:9">
      <c r="A129" s="60"/>
      <c r="B129" s="70"/>
      <c r="C129" s="60"/>
      <c r="D129" s="16">
        <v>12.99</v>
      </c>
      <c r="E129" s="17"/>
      <c r="F129" s="21" t="s">
        <v>68</v>
      </c>
      <c r="G129" s="19"/>
      <c r="H129" s="19"/>
      <c r="I129" s="8"/>
    </row>
    <row r="130" s="1" customFormat="1" ht="21" customHeight="1" outlineLevel="1" spans="1:9">
      <c r="A130" s="27"/>
      <c r="B130" s="72"/>
      <c r="C130" s="27"/>
      <c r="D130" s="16">
        <v>11.22</v>
      </c>
      <c r="E130" s="17"/>
      <c r="F130" s="21" t="s">
        <v>125</v>
      </c>
      <c r="G130" s="19"/>
      <c r="H130" s="19"/>
      <c r="I130" s="8"/>
    </row>
    <row r="131" s="1" customFormat="1" ht="21" customHeight="1" outlineLevel="1" spans="1:9">
      <c r="A131" s="24" t="s">
        <v>79</v>
      </c>
      <c r="B131" s="25" t="s">
        <v>183</v>
      </c>
      <c r="C131" s="24" t="s">
        <v>30</v>
      </c>
      <c r="D131" s="16">
        <v>13.8</v>
      </c>
      <c r="E131" s="17" t="s">
        <v>39</v>
      </c>
      <c r="F131" s="21" t="s">
        <v>50</v>
      </c>
      <c r="G131" s="19"/>
      <c r="H131" s="19"/>
      <c r="I131" s="8"/>
    </row>
    <row r="132" s="1" customFormat="1" ht="21" customHeight="1" outlineLevel="1" spans="1:9">
      <c r="A132" s="27"/>
      <c r="B132" s="73"/>
      <c r="C132" s="27"/>
      <c r="D132" s="16">
        <v>260.88</v>
      </c>
      <c r="E132" s="17"/>
      <c r="F132" s="21" t="s">
        <v>116</v>
      </c>
      <c r="G132" s="19"/>
      <c r="H132" s="19"/>
      <c r="I132" s="8"/>
    </row>
    <row r="133" s="1" customFormat="1" ht="21" customHeight="1" outlineLevel="1" spans="1:9">
      <c r="A133" s="24" t="s">
        <v>84</v>
      </c>
      <c r="B133" s="25" t="s">
        <v>184</v>
      </c>
      <c r="C133" s="24" t="s">
        <v>30</v>
      </c>
      <c r="D133" s="16">
        <v>156.27</v>
      </c>
      <c r="E133" s="17" t="s">
        <v>39</v>
      </c>
      <c r="F133" s="21" t="s">
        <v>49</v>
      </c>
      <c r="G133" s="19"/>
      <c r="H133" s="19"/>
      <c r="I133" s="92"/>
    </row>
    <row r="134" s="1" customFormat="1" ht="21" customHeight="1" outlineLevel="1" spans="1:9">
      <c r="A134" s="60"/>
      <c r="B134" s="71"/>
      <c r="C134" s="60"/>
      <c r="D134" s="16">
        <v>59.46</v>
      </c>
      <c r="E134" s="17"/>
      <c r="F134" s="21" t="s">
        <v>127</v>
      </c>
      <c r="G134" s="19"/>
      <c r="H134" s="19"/>
      <c r="I134" s="8"/>
    </row>
    <row r="135" s="1" customFormat="1" ht="21" customHeight="1" outlineLevel="1" spans="1:9">
      <c r="A135" s="60"/>
      <c r="B135" s="71"/>
      <c r="C135" s="60"/>
      <c r="D135" s="16">
        <v>30.1</v>
      </c>
      <c r="E135" s="17"/>
      <c r="F135" s="21" t="s">
        <v>54</v>
      </c>
      <c r="G135" s="19"/>
      <c r="H135" s="19"/>
      <c r="I135" s="8"/>
    </row>
    <row r="136" s="1" customFormat="1" ht="21" customHeight="1" outlineLevel="1" spans="1:9">
      <c r="A136" s="60"/>
      <c r="B136" s="71"/>
      <c r="C136" s="60"/>
      <c r="D136" s="16">
        <v>230.91</v>
      </c>
      <c r="E136" s="17"/>
      <c r="F136" s="21" t="s">
        <v>106</v>
      </c>
      <c r="G136" s="19"/>
      <c r="H136" s="19"/>
      <c r="I136" s="8"/>
    </row>
    <row r="137" s="1" customFormat="1" ht="21" customHeight="1" outlineLevel="1" spans="1:9">
      <c r="A137" s="27"/>
      <c r="B137" s="73"/>
      <c r="C137" s="27"/>
      <c r="D137" s="16">
        <v>22.81</v>
      </c>
      <c r="E137" s="17"/>
      <c r="F137" s="21" t="s">
        <v>116</v>
      </c>
      <c r="G137" s="19"/>
      <c r="H137" s="19"/>
      <c r="I137" s="8"/>
    </row>
    <row r="138" s="1" customFormat="1" ht="39" customHeight="1" outlineLevel="1" spans="1:9">
      <c r="A138" s="13" t="s">
        <v>87</v>
      </c>
      <c r="B138" s="43" t="s">
        <v>176</v>
      </c>
      <c r="C138" s="15" t="s">
        <v>30</v>
      </c>
      <c r="D138" s="16">
        <v>4.25</v>
      </c>
      <c r="E138" s="16" t="s">
        <v>31</v>
      </c>
      <c r="F138" s="7" t="s">
        <v>120</v>
      </c>
      <c r="G138" s="19"/>
      <c r="H138" s="19"/>
      <c r="I138" s="8"/>
    </row>
    <row r="139" s="1" customFormat="1" ht="21" customHeight="1" outlineLevel="1" spans="1:9">
      <c r="A139" s="24" t="s">
        <v>97</v>
      </c>
      <c r="B139" s="59" t="s">
        <v>185</v>
      </c>
      <c r="C139" s="24" t="s">
        <v>30</v>
      </c>
      <c r="D139" s="16">
        <v>75.66</v>
      </c>
      <c r="E139" s="17" t="s">
        <v>31</v>
      </c>
      <c r="F139" s="21" t="s">
        <v>111</v>
      </c>
      <c r="G139" s="19"/>
      <c r="H139" s="19"/>
      <c r="I139" s="93" t="s">
        <v>186</v>
      </c>
    </row>
    <row r="140" s="1" customFormat="1" ht="21" customHeight="1" outlineLevel="1" spans="1:9">
      <c r="A140" s="60"/>
      <c r="B140" s="70"/>
      <c r="C140" s="60"/>
      <c r="D140" s="16">
        <v>118.08</v>
      </c>
      <c r="E140" s="17"/>
      <c r="F140" s="21" t="s">
        <v>111</v>
      </c>
      <c r="G140" s="19"/>
      <c r="H140" s="19"/>
      <c r="I140" s="94"/>
    </row>
    <row r="141" s="1" customFormat="1" ht="21" customHeight="1" outlineLevel="1" spans="1:9">
      <c r="A141" s="60"/>
      <c r="B141" s="70"/>
      <c r="C141" s="60"/>
      <c r="D141" s="16">
        <v>13.6</v>
      </c>
      <c r="E141" s="17"/>
      <c r="F141" s="7" t="s">
        <v>114</v>
      </c>
      <c r="G141" s="19"/>
      <c r="H141" s="19"/>
      <c r="I141" s="94"/>
    </row>
    <row r="142" s="1" customFormat="1" ht="21" customHeight="1" outlineLevel="1" spans="1:9">
      <c r="A142" s="27"/>
      <c r="B142" s="72"/>
      <c r="C142" s="27"/>
      <c r="D142" s="16">
        <v>0.26</v>
      </c>
      <c r="E142" s="17"/>
      <c r="F142" s="7" t="s">
        <v>128</v>
      </c>
      <c r="G142" s="19"/>
      <c r="H142" s="19"/>
      <c r="I142" s="95"/>
    </row>
    <row r="143" s="1" customFormat="1" ht="21" customHeight="1" outlineLevel="1" spans="1:9">
      <c r="A143" s="24" t="s">
        <v>129</v>
      </c>
      <c r="B143" s="59" t="s">
        <v>187</v>
      </c>
      <c r="C143" s="24" t="s">
        <v>30</v>
      </c>
      <c r="D143" s="16">
        <v>12.03</v>
      </c>
      <c r="E143" s="17" t="s">
        <v>31</v>
      </c>
      <c r="F143" s="7" t="s">
        <v>115</v>
      </c>
      <c r="G143" s="19"/>
      <c r="H143" s="19"/>
      <c r="I143" s="8"/>
    </row>
    <row r="144" s="1" customFormat="1" ht="21" customHeight="1" outlineLevel="1" spans="1:9">
      <c r="A144" s="27"/>
      <c r="B144" s="72"/>
      <c r="C144" s="27"/>
      <c r="D144" s="16">
        <v>5.71</v>
      </c>
      <c r="E144" s="17" t="s">
        <v>39</v>
      </c>
      <c r="F144" s="21" t="s">
        <v>116</v>
      </c>
      <c r="G144" s="19"/>
      <c r="H144" s="19"/>
      <c r="I144" s="8"/>
    </row>
    <row r="145" ht="21" customHeight="1" outlineLevel="1" spans="1:9">
      <c r="A145" s="58"/>
      <c r="B145" s="58"/>
      <c r="C145" s="58"/>
      <c r="D145" s="9"/>
      <c r="E145" s="9"/>
      <c r="F145" s="8"/>
      <c r="G145" s="19"/>
      <c r="H145" s="19"/>
      <c r="I145" s="8"/>
    </row>
    <row r="146" ht="21" customHeight="1" spans="1:9">
      <c r="A146" s="58"/>
      <c r="B146" s="58"/>
      <c r="C146" s="58"/>
      <c r="D146" s="9"/>
      <c r="E146" s="9"/>
      <c r="F146" s="8"/>
      <c r="G146" s="19"/>
      <c r="H146" s="19"/>
      <c r="I146" s="8"/>
    </row>
    <row r="147" ht="21" customHeight="1" spans="1:9">
      <c r="A147" s="15" t="s">
        <v>131</v>
      </c>
      <c r="B147" s="58"/>
      <c r="C147" s="58"/>
      <c r="D147" s="9"/>
      <c r="E147" s="9"/>
      <c r="F147" s="8"/>
      <c r="G147" s="19"/>
      <c r="H147" s="19"/>
      <c r="I147" s="8"/>
    </row>
    <row r="148" s="1" customFormat="1" ht="21" customHeight="1" outlineLevel="1" spans="1:9">
      <c r="A148" s="13" t="s">
        <v>79</v>
      </c>
      <c r="B148" s="22" t="s">
        <v>188</v>
      </c>
      <c r="C148" s="15" t="s">
        <v>30</v>
      </c>
      <c r="D148" s="16">
        <v>1.24</v>
      </c>
      <c r="E148" s="17"/>
      <c r="F148" s="7" t="s">
        <v>114</v>
      </c>
      <c r="G148" s="19"/>
      <c r="H148" s="19"/>
      <c r="I148" s="8"/>
    </row>
    <row r="149" s="1" customFormat="1" ht="21" customHeight="1" outlineLevel="1" spans="1:9">
      <c r="A149" s="13"/>
      <c r="B149" s="22"/>
      <c r="C149" s="15"/>
      <c r="D149" s="16">
        <v>1.62</v>
      </c>
      <c r="E149" s="17"/>
      <c r="F149" s="7" t="s">
        <v>133</v>
      </c>
      <c r="G149" s="19"/>
      <c r="H149" s="19"/>
      <c r="I149" s="8"/>
    </row>
    <row r="150" s="1" customFormat="1" ht="21" customHeight="1" outlineLevel="1" spans="1:9">
      <c r="A150" s="13"/>
      <c r="B150" s="22"/>
      <c r="C150" s="15"/>
      <c r="D150" s="16">
        <v>1.56</v>
      </c>
      <c r="E150" s="17"/>
      <c r="F150" s="7" t="s">
        <v>134</v>
      </c>
      <c r="G150" s="19"/>
      <c r="H150" s="19"/>
      <c r="I150" s="8"/>
    </row>
    <row r="151" s="1" customFormat="1" ht="21" customHeight="1" outlineLevel="1" spans="1:9">
      <c r="A151" s="13"/>
      <c r="B151" s="22"/>
      <c r="C151" s="15"/>
      <c r="D151" s="16">
        <v>1.56</v>
      </c>
      <c r="E151" s="17"/>
      <c r="F151" s="7" t="s">
        <v>134</v>
      </c>
      <c r="G151" s="19"/>
      <c r="H151" s="19"/>
      <c r="I151" s="8"/>
    </row>
    <row r="152" s="1" customFormat="1" ht="21" customHeight="1" outlineLevel="1" spans="1:9">
      <c r="A152" s="13"/>
      <c r="B152" s="22"/>
      <c r="C152" s="15"/>
      <c r="D152" s="16">
        <v>0.36</v>
      </c>
      <c r="E152" s="17"/>
      <c r="F152" s="7" t="s">
        <v>135</v>
      </c>
      <c r="G152" s="19"/>
      <c r="H152" s="19"/>
      <c r="I152" s="8"/>
    </row>
    <row r="153" s="1" customFormat="1" ht="21" customHeight="1" outlineLevel="1" spans="1:9">
      <c r="A153" s="13"/>
      <c r="B153" s="22"/>
      <c r="C153" s="15"/>
      <c r="D153" s="16">
        <v>1.98</v>
      </c>
      <c r="E153" s="17"/>
      <c r="F153" s="7" t="s">
        <v>136</v>
      </c>
      <c r="G153" s="19"/>
      <c r="H153" s="19"/>
      <c r="I153" s="8"/>
    </row>
    <row r="154" s="1" customFormat="1" ht="21" customHeight="1" outlineLevel="1" spans="1:9">
      <c r="A154" s="13"/>
      <c r="B154" s="22"/>
      <c r="C154" s="15"/>
      <c r="D154" s="16">
        <v>0.36</v>
      </c>
      <c r="E154" s="17"/>
      <c r="F154" s="7" t="s">
        <v>137</v>
      </c>
      <c r="G154" s="19"/>
      <c r="H154" s="19"/>
      <c r="I154" s="8"/>
    </row>
    <row r="155" s="1" customFormat="1" ht="21" customHeight="1" outlineLevel="1" spans="1:9">
      <c r="A155" s="13"/>
      <c r="B155" s="22"/>
      <c r="C155" s="15"/>
      <c r="D155" s="16">
        <v>0.11</v>
      </c>
      <c r="E155" s="17"/>
      <c r="F155" s="7" t="s">
        <v>113</v>
      </c>
      <c r="G155" s="19"/>
      <c r="H155" s="19"/>
      <c r="I155" s="8"/>
    </row>
    <row r="156" s="1" customFormat="1" ht="45" customHeight="1" outlineLevel="1" spans="1:9">
      <c r="A156" s="13" t="s">
        <v>61</v>
      </c>
      <c r="B156" s="22" t="s">
        <v>189</v>
      </c>
      <c r="C156" s="15" t="s">
        <v>30</v>
      </c>
      <c r="D156" s="16">
        <v>11.43</v>
      </c>
      <c r="E156" s="17"/>
      <c r="F156" s="7" t="s">
        <v>134</v>
      </c>
      <c r="G156" s="19"/>
      <c r="H156" s="19"/>
      <c r="I156" s="8"/>
    </row>
    <row r="157" s="1" customFormat="1" ht="21" customHeight="1" outlineLevel="1" spans="1:9">
      <c r="A157" s="13" t="s">
        <v>79</v>
      </c>
      <c r="B157" s="22" t="s">
        <v>190</v>
      </c>
      <c r="C157" s="15" t="s">
        <v>30</v>
      </c>
      <c r="D157" s="16">
        <v>2.24</v>
      </c>
      <c r="E157" s="17"/>
      <c r="F157" s="7" t="s">
        <v>140</v>
      </c>
      <c r="G157" s="19"/>
      <c r="H157" s="19"/>
      <c r="I157" s="77"/>
    </row>
    <row r="158" s="1" customFormat="1" ht="21" customHeight="1" outlineLevel="1" spans="1:9">
      <c r="A158" s="13"/>
      <c r="B158" s="22"/>
      <c r="C158" s="15"/>
      <c r="D158" s="16">
        <v>0.732</v>
      </c>
      <c r="E158" s="17"/>
      <c r="F158" s="7" t="s">
        <v>114</v>
      </c>
      <c r="G158" s="19"/>
      <c r="H158" s="19"/>
      <c r="I158" s="78"/>
    </row>
    <row r="159" s="1" customFormat="1" ht="21" customHeight="1" outlineLevel="1" spans="1:9">
      <c r="A159" s="13"/>
      <c r="B159" s="22"/>
      <c r="C159" s="15"/>
      <c r="D159" s="16">
        <v>1.78</v>
      </c>
      <c r="E159" s="17"/>
      <c r="F159" s="7" t="s">
        <v>141</v>
      </c>
      <c r="G159" s="19"/>
      <c r="H159" s="19"/>
      <c r="I159" s="79"/>
    </row>
    <row r="160" s="1" customFormat="1" ht="21" customHeight="1" outlineLevel="1" spans="1:9">
      <c r="A160" s="13"/>
      <c r="B160" s="22" t="s">
        <v>191</v>
      </c>
      <c r="C160" s="15" t="s">
        <v>30</v>
      </c>
      <c r="D160" s="16">
        <v>1.24</v>
      </c>
      <c r="E160" s="17"/>
      <c r="F160" s="7" t="s">
        <v>134</v>
      </c>
      <c r="G160" s="19"/>
      <c r="H160" s="19"/>
      <c r="I160" s="8"/>
    </row>
    <row r="161" s="1" customFormat="1" ht="21" customHeight="1" outlineLevel="1" spans="1:9">
      <c r="A161" s="13"/>
      <c r="B161" s="22"/>
      <c r="C161" s="15"/>
      <c r="D161" s="16">
        <v>0.19</v>
      </c>
      <c r="E161" s="17"/>
      <c r="F161" s="7" t="s">
        <v>141</v>
      </c>
      <c r="G161" s="19"/>
      <c r="H161" s="19"/>
      <c r="I161" s="8"/>
    </row>
    <row r="162" s="1" customFormat="1" ht="21" customHeight="1" outlineLevel="1" spans="1:9">
      <c r="A162" s="13" t="s">
        <v>82</v>
      </c>
      <c r="B162" s="22" t="s">
        <v>192</v>
      </c>
      <c r="C162" s="15" t="s">
        <v>30</v>
      </c>
      <c r="D162" s="16">
        <v>21.35</v>
      </c>
      <c r="E162" s="17"/>
      <c r="F162" s="7" t="s">
        <v>144</v>
      </c>
      <c r="G162" s="19"/>
      <c r="H162" s="19"/>
      <c r="I162" s="8"/>
    </row>
    <row r="163" s="1" customFormat="1" ht="21" customHeight="1" outlineLevel="1" spans="1:9">
      <c r="A163" s="13"/>
      <c r="B163" s="22"/>
      <c r="C163" s="15"/>
      <c r="D163" s="16">
        <v>9.33</v>
      </c>
      <c r="E163" s="17"/>
      <c r="F163" s="7" t="s">
        <v>145</v>
      </c>
      <c r="G163" s="19"/>
      <c r="H163" s="19"/>
      <c r="I163" s="8"/>
    </row>
    <row r="164" ht="21" customHeight="1" outlineLevel="1" spans="1:9">
      <c r="A164" s="58"/>
      <c r="B164" s="58"/>
      <c r="C164" s="58"/>
      <c r="D164" s="9"/>
      <c r="E164" s="9"/>
      <c r="F164" s="8"/>
      <c r="G164" s="19"/>
      <c r="H164" s="19"/>
      <c r="I164" s="8"/>
    </row>
    <row r="165" ht="21" customHeight="1" spans="1:9">
      <c r="A165" s="58"/>
      <c r="B165" s="58"/>
      <c r="C165" s="58"/>
      <c r="D165" s="9"/>
      <c r="E165" s="9"/>
      <c r="F165" s="8"/>
      <c r="G165" s="19"/>
      <c r="H165" s="19"/>
      <c r="I165" s="8"/>
    </row>
    <row r="166" ht="21" customHeight="1" spans="1:9">
      <c r="A166" s="15" t="s">
        <v>146</v>
      </c>
      <c r="B166" s="58"/>
      <c r="C166" s="58"/>
      <c r="D166" s="9"/>
      <c r="E166" s="9"/>
      <c r="F166" s="8"/>
      <c r="G166" s="19"/>
      <c r="H166" s="19"/>
      <c r="I166" s="8"/>
    </row>
    <row r="167" ht="33" customHeight="1" outlineLevel="1" spans="1:9">
      <c r="A167" s="83" t="s">
        <v>61</v>
      </c>
      <c r="B167" s="84" t="s">
        <v>193</v>
      </c>
      <c r="C167" s="85" t="s">
        <v>30</v>
      </c>
      <c r="D167" s="86">
        <v>137.5062</v>
      </c>
      <c r="E167" s="86"/>
      <c r="F167" s="87" t="s">
        <v>148</v>
      </c>
      <c r="G167" s="19"/>
      <c r="H167" s="19"/>
      <c r="I167" s="8"/>
    </row>
    <row r="168" ht="33" customHeight="1" outlineLevel="1" spans="1:9">
      <c r="A168" s="83" t="s">
        <v>61</v>
      </c>
      <c r="B168" s="84" t="s">
        <v>193</v>
      </c>
      <c r="C168" s="85" t="s">
        <v>30</v>
      </c>
      <c r="D168" s="86">
        <v>1905.5875</v>
      </c>
      <c r="E168" s="86"/>
      <c r="F168" s="87" t="s">
        <v>149</v>
      </c>
      <c r="G168" s="19"/>
      <c r="H168" s="19"/>
      <c r="I168" s="8"/>
    </row>
    <row r="169" ht="60" customHeight="1" outlineLevel="1" spans="1:9">
      <c r="A169" s="83" t="s">
        <v>150</v>
      </c>
      <c r="B169" s="83" t="s">
        <v>194</v>
      </c>
      <c r="C169" s="85" t="s">
        <v>30</v>
      </c>
      <c r="D169" s="86">
        <v>235.3624</v>
      </c>
      <c r="E169" s="86"/>
      <c r="F169" s="87" t="s">
        <v>151</v>
      </c>
      <c r="G169" s="19"/>
      <c r="H169" s="19"/>
      <c r="I169" s="96" t="s">
        <v>195</v>
      </c>
    </row>
    <row r="170" ht="33" customHeight="1" outlineLevel="1" spans="1:9">
      <c r="A170" s="83" t="s">
        <v>61</v>
      </c>
      <c r="B170" s="84" t="s">
        <v>196</v>
      </c>
      <c r="C170" s="85" t="s">
        <v>30</v>
      </c>
      <c r="D170" s="86">
        <v>4572.1209</v>
      </c>
      <c r="E170" s="86"/>
      <c r="F170" s="87" t="s">
        <v>153</v>
      </c>
      <c r="G170" s="19"/>
      <c r="H170" s="19"/>
      <c r="I170" s="8"/>
    </row>
    <row r="171" ht="33" customHeight="1" outlineLevel="1" spans="1:9">
      <c r="A171" s="83" t="s">
        <v>61</v>
      </c>
      <c r="B171" s="84" t="s">
        <v>193</v>
      </c>
      <c r="C171" s="85" t="s">
        <v>30</v>
      </c>
      <c r="D171" s="86">
        <v>86.5596</v>
      </c>
      <c r="E171" s="86"/>
      <c r="F171" s="87" t="s">
        <v>154</v>
      </c>
      <c r="G171" s="19"/>
      <c r="H171" s="19"/>
      <c r="I171" s="8"/>
    </row>
    <row r="172" ht="33" customHeight="1" outlineLevel="1" spans="1:9">
      <c r="A172" s="83" t="s">
        <v>61</v>
      </c>
      <c r="B172" s="84" t="s">
        <v>193</v>
      </c>
      <c r="C172" s="85" t="s">
        <v>30</v>
      </c>
      <c r="D172" s="86">
        <v>385.3089</v>
      </c>
      <c r="E172" s="86"/>
      <c r="F172" s="87" t="s">
        <v>155</v>
      </c>
      <c r="G172" s="19"/>
      <c r="H172" s="19"/>
      <c r="I172" s="8"/>
    </row>
    <row r="173" ht="33" customHeight="1" outlineLevel="1" spans="1:9">
      <c r="A173" s="83" t="s">
        <v>61</v>
      </c>
      <c r="B173" s="84" t="s">
        <v>193</v>
      </c>
      <c r="C173" s="85" t="s">
        <v>30</v>
      </c>
      <c r="D173" s="86">
        <v>4.0704</v>
      </c>
      <c r="E173" s="86"/>
      <c r="F173" s="87" t="s">
        <v>156</v>
      </c>
      <c r="G173" s="19"/>
      <c r="H173" s="19"/>
      <c r="I173" s="8"/>
    </row>
    <row r="174" ht="45" customHeight="1" outlineLevel="1" spans="1:9">
      <c r="A174" s="83" t="s">
        <v>157</v>
      </c>
      <c r="B174" s="83" t="s">
        <v>197</v>
      </c>
      <c r="C174" s="85" t="s">
        <v>30</v>
      </c>
      <c r="D174" s="86">
        <v>400.2156</v>
      </c>
      <c r="E174" s="86"/>
      <c r="F174" s="87" t="s">
        <v>103</v>
      </c>
      <c r="G174" s="19"/>
      <c r="H174" s="19"/>
      <c r="I174" s="7" t="s">
        <v>198</v>
      </c>
    </row>
    <row r="175" ht="33" customHeight="1" outlineLevel="1" spans="1:9">
      <c r="A175" s="83" t="s">
        <v>158</v>
      </c>
      <c r="B175" s="83" t="s">
        <v>199</v>
      </c>
      <c r="C175" s="85" t="s">
        <v>30</v>
      </c>
      <c r="D175" s="86">
        <v>673.2408</v>
      </c>
      <c r="E175" s="86"/>
      <c r="F175" s="88" t="s">
        <v>67</v>
      </c>
      <c r="G175" s="8"/>
      <c r="H175" s="8"/>
      <c r="I175" s="8"/>
    </row>
    <row r="176" ht="33" customHeight="1" outlineLevel="1" spans="1:9">
      <c r="A176" s="83"/>
      <c r="B176" s="83"/>
      <c r="C176" s="85"/>
      <c r="D176" s="86"/>
      <c r="E176" s="86"/>
      <c r="F176" s="88"/>
      <c r="G176" s="8"/>
      <c r="H176" s="8"/>
      <c r="I176" s="8"/>
    </row>
    <row r="177" ht="46" customHeight="1" outlineLevel="1" spans="1:9">
      <c r="A177" s="83"/>
      <c r="B177" s="87" t="s">
        <v>200</v>
      </c>
      <c r="C177" s="89" t="s">
        <v>201</v>
      </c>
      <c r="D177" s="89">
        <v>300</v>
      </c>
      <c r="E177" s="86"/>
      <c r="F177" s="88"/>
      <c r="G177" s="8"/>
      <c r="H177" s="8"/>
      <c r="I177" s="8"/>
    </row>
    <row r="178" ht="46" customHeight="1" outlineLevel="1" spans="1:9">
      <c r="A178" s="83"/>
      <c r="B178" s="87" t="s">
        <v>202</v>
      </c>
      <c r="C178" s="89" t="s">
        <v>201</v>
      </c>
      <c r="D178" s="89">
        <v>300</v>
      </c>
      <c r="E178" s="86"/>
      <c r="F178" s="88"/>
      <c r="G178" s="8"/>
      <c r="H178" s="8"/>
      <c r="I178" s="8"/>
    </row>
    <row r="179" ht="46" customHeight="1" outlineLevel="1" spans="1:9">
      <c r="A179" s="83"/>
      <c r="B179" s="87" t="s">
        <v>203</v>
      </c>
      <c r="C179" s="89" t="s">
        <v>201</v>
      </c>
      <c r="D179" s="89">
        <v>300</v>
      </c>
      <c r="E179" s="86"/>
      <c r="F179" s="88"/>
      <c r="G179" s="8"/>
      <c r="H179" s="8"/>
      <c r="I179" s="8"/>
    </row>
    <row r="180" ht="46" customHeight="1" outlineLevel="1" spans="1:9">
      <c r="A180" s="83"/>
      <c r="B180" s="87" t="s">
        <v>204</v>
      </c>
      <c r="C180" s="89" t="s">
        <v>201</v>
      </c>
      <c r="D180" s="89">
        <v>300</v>
      </c>
      <c r="E180" s="86"/>
      <c r="F180" s="88"/>
      <c r="G180" s="8"/>
      <c r="H180" s="8"/>
      <c r="I180" s="8"/>
    </row>
    <row r="181" ht="27" customHeight="1" outlineLevel="1" spans="1:9">
      <c r="A181" s="83"/>
      <c r="B181" s="87" t="s">
        <v>205</v>
      </c>
      <c r="C181" s="89" t="s">
        <v>201</v>
      </c>
      <c r="D181" s="89">
        <v>200</v>
      </c>
      <c r="E181" s="86"/>
      <c r="F181" s="88"/>
      <c r="G181" s="8"/>
      <c r="H181" s="8"/>
      <c r="I181" s="77" t="s">
        <v>76</v>
      </c>
    </row>
    <row r="182" ht="34" customHeight="1" outlineLevel="1" spans="1:9">
      <c r="A182" s="83"/>
      <c r="B182" s="87" t="s">
        <v>206</v>
      </c>
      <c r="C182" s="89" t="s">
        <v>201</v>
      </c>
      <c r="D182" s="89">
        <v>200</v>
      </c>
      <c r="E182" s="86"/>
      <c r="F182" s="88"/>
      <c r="G182" s="8"/>
      <c r="H182" s="8"/>
      <c r="I182" s="79"/>
    </row>
    <row r="183" ht="32" customHeight="1" spans="1:9">
      <c r="A183" s="8"/>
      <c r="B183" s="87" t="s">
        <v>207</v>
      </c>
      <c r="C183" s="89" t="s">
        <v>81</v>
      </c>
      <c r="D183" s="89">
        <f>320*3</f>
        <v>960</v>
      </c>
      <c r="E183" s="9"/>
      <c r="F183" s="8"/>
      <c r="G183" s="8"/>
      <c r="H183" s="8"/>
      <c r="I183" s="8"/>
    </row>
    <row r="184" ht="35" customHeight="1" spans="1:9">
      <c r="A184" s="8"/>
      <c r="B184" s="90" t="s">
        <v>208</v>
      </c>
      <c r="C184" s="89" t="s">
        <v>201</v>
      </c>
      <c r="D184" s="89">
        <v>300</v>
      </c>
      <c r="E184" s="9"/>
      <c r="F184" s="8"/>
      <c r="G184" s="8"/>
      <c r="H184" s="8"/>
      <c r="I184" s="8"/>
    </row>
    <row r="185" ht="24" customHeight="1" spans="1:9">
      <c r="A185" s="8"/>
      <c r="B185" s="90" t="s">
        <v>209</v>
      </c>
      <c r="C185" s="89" t="s">
        <v>201</v>
      </c>
      <c r="D185" s="89">
        <v>100</v>
      </c>
      <c r="E185" s="9"/>
      <c r="F185" s="8"/>
      <c r="G185" s="8"/>
      <c r="H185" s="8"/>
      <c r="I185" s="8"/>
    </row>
    <row r="186" ht="24" customHeight="1" spans="1:9">
      <c r="A186" s="8"/>
      <c r="B186" s="90" t="s">
        <v>210</v>
      </c>
      <c r="C186" s="89" t="s">
        <v>201</v>
      </c>
      <c r="D186" s="89">
        <v>100</v>
      </c>
      <c r="E186" s="9"/>
      <c r="F186" s="8"/>
      <c r="G186" s="8"/>
      <c r="H186" s="8"/>
      <c r="I186" s="8"/>
    </row>
    <row r="187" ht="24" customHeight="1" spans="1:9">
      <c r="A187" s="8"/>
      <c r="B187" s="90" t="s">
        <v>211</v>
      </c>
      <c r="C187" s="89" t="s">
        <v>201</v>
      </c>
      <c r="D187" s="89">
        <v>100</v>
      </c>
      <c r="E187" s="9"/>
      <c r="F187" s="8"/>
      <c r="G187" s="8"/>
      <c r="H187" s="8"/>
      <c r="I187" s="8"/>
    </row>
    <row r="188" ht="24" customHeight="1" spans="1:9">
      <c r="A188" s="8"/>
      <c r="B188" s="90" t="s">
        <v>212</v>
      </c>
      <c r="C188" s="89" t="s">
        <v>201</v>
      </c>
      <c r="D188" s="89">
        <v>100</v>
      </c>
      <c r="E188" s="9"/>
      <c r="F188" s="8"/>
      <c r="G188" s="8"/>
      <c r="H188" s="8"/>
      <c r="I188" s="8"/>
    </row>
    <row r="189" ht="30" customHeight="1" spans="1:9">
      <c r="A189" s="8"/>
      <c r="B189" s="90" t="s">
        <v>213</v>
      </c>
      <c r="C189" s="89" t="s">
        <v>201</v>
      </c>
      <c r="D189" s="89">
        <v>100</v>
      </c>
      <c r="E189" s="9"/>
      <c r="F189" s="8"/>
      <c r="G189" s="8"/>
      <c r="H189" s="8"/>
      <c r="I189" s="8"/>
    </row>
    <row r="190" ht="24" customHeight="1" spans="1:9">
      <c r="A190" s="8"/>
      <c r="B190" s="91" t="s">
        <v>214</v>
      </c>
      <c r="C190" s="89" t="s">
        <v>201</v>
      </c>
      <c r="D190" s="89">
        <v>100</v>
      </c>
      <c r="E190" s="9"/>
      <c r="F190" s="8"/>
      <c r="G190" s="8"/>
      <c r="H190" s="8"/>
      <c r="I190" s="8"/>
    </row>
    <row r="191" ht="31" customHeight="1" spans="1:9">
      <c r="A191" s="8"/>
      <c r="B191" s="90" t="s">
        <v>215</v>
      </c>
      <c r="C191" s="89" t="s">
        <v>201</v>
      </c>
      <c r="D191" s="89">
        <v>100</v>
      </c>
      <c r="E191" s="9"/>
      <c r="F191" s="8"/>
      <c r="G191" s="8"/>
      <c r="H191" s="8"/>
      <c r="I191" s="8"/>
    </row>
    <row r="192" ht="24" customHeight="1" spans="1:9">
      <c r="A192" s="8"/>
      <c r="B192" s="90" t="s">
        <v>216</v>
      </c>
      <c r="C192" s="89" t="s">
        <v>201</v>
      </c>
      <c r="D192" s="89">
        <v>100</v>
      </c>
      <c r="E192" s="9"/>
      <c r="F192" s="8"/>
      <c r="G192" s="8"/>
      <c r="H192" s="8"/>
      <c r="I192" s="8"/>
    </row>
    <row r="193" ht="28" customHeight="1" spans="1:9">
      <c r="A193" s="8"/>
      <c r="B193" s="90" t="s">
        <v>217</v>
      </c>
      <c r="C193" s="89" t="s">
        <v>201</v>
      </c>
      <c r="D193" s="89">
        <v>100</v>
      </c>
      <c r="E193" s="9"/>
      <c r="F193" s="8"/>
      <c r="G193" s="8"/>
      <c r="H193" s="8"/>
      <c r="I193" s="8"/>
    </row>
    <row r="194" ht="24" customHeight="1" spans="1:9">
      <c r="A194" s="8"/>
      <c r="B194" s="90" t="s">
        <v>218</v>
      </c>
      <c r="C194" s="89" t="s">
        <v>201</v>
      </c>
      <c r="D194" s="89">
        <v>100</v>
      </c>
      <c r="E194" s="9"/>
      <c r="F194" s="8"/>
      <c r="G194" s="8"/>
      <c r="H194" s="8"/>
      <c r="I194" s="8"/>
    </row>
    <row r="195" ht="24" customHeight="1" spans="1:9">
      <c r="A195" s="8"/>
      <c r="B195" s="90" t="s">
        <v>219</v>
      </c>
      <c r="C195" s="89" t="s">
        <v>201</v>
      </c>
      <c r="D195" s="89">
        <v>100</v>
      </c>
      <c r="E195" s="9"/>
      <c r="F195" s="8"/>
      <c r="G195" s="8"/>
      <c r="H195" s="8"/>
      <c r="I195" s="8"/>
    </row>
    <row r="196" ht="24" customHeight="1" spans="1:9">
      <c r="A196" s="8"/>
      <c r="B196" s="90" t="s">
        <v>220</v>
      </c>
      <c r="C196" s="89" t="s">
        <v>201</v>
      </c>
      <c r="D196" s="89">
        <v>100</v>
      </c>
      <c r="E196" s="9"/>
      <c r="F196" s="8"/>
      <c r="G196" s="8"/>
      <c r="H196" s="8"/>
      <c r="I196" s="8"/>
    </row>
    <row r="197" ht="24" customHeight="1" spans="1:9">
      <c r="A197" s="8"/>
      <c r="B197" s="90" t="s">
        <v>221</v>
      </c>
      <c r="C197" s="89" t="s">
        <v>201</v>
      </c>
      <c r="D197" s="89">
        <v>100</v>
      </c>
      <c r="E197" s="9"/>
      <c r="F197" s="8"/>
      <c r="G197" s="8"/>
      <c r="H197" s="8"/>
      <c r="I197" s="8"/>
    </row>
    <row r="198" ht="24" customHeight="1" spans="1:9">
      <c r="A198" s="8"/>
      <c r="B198" s="90" t="s">
        <v>222</v>
      </c>
      <c r="C198" s="89" t="s">
        <v>201</v>
      </c>
      <c r="D198" s="89">
        <v>100</v>
      </c>
      <c r="E198" s="9"/>
      <c r="F198" s="8"/>
      <c r="G198" s="8"/>
      <c r="H198" s="8"/>
      <c r="I198" s="8"/>
    </row>
    <row r="199" ht="22" customHeight="1" spans="1:9">
      <c r="A199" s="8"/>
      <c r="B199" s="90" t="s">
        <v>223</v>
      </c>
      <c r="C199" s="89" t="s">
        <v>201</v>
      </c>
      <c r="D199" s="89">
        <v>100</v>
      </c>
      <c r="E199" s="9"/>
      <c r="F199" s="8"/>
      <c r="G199" s="8"/>
      <c r="H199" s="8"/>
      <c r="I199" s="8"/>
    </row>
    <row r="200" ht="22" customHeight="1" spans="1:9">
      <c r="A200" s="8"/>
      <c r="B200" s="90" t="s">
        <v>224</v>
      </c>
      <c r="C200" s="89" t="s">
        <v>201</v>
      </c>
      <c r="D200" s="89">
        <v>100</v>
      </c>
      <c r="E200" s="9"/>
      <c r="F200" s="8"/>
      <c r="G200" s="8"/>
      <c r="H200" s="8"/>
      <c r="I200" s="8"/>
    </row>
    <row r="201" ht="22" customHeight="1" spans="1:9">
      <c r="A201" s="8"/>
      <c r="B201" s="90" t="s">
        <v>225</v>
      </c>
      <c r="C201" s="89" t="s">
        <v>201</v>
      </c>
      <c r="D201" s="89">
        <v>100</v>
      </c>
      <c r="E201" s="9"/>
      <c r="F201" s="8"/>
      <c r="G201" s="8"/>
      <c r="H201" s="8"/>
      <c r="I201" s="8"/>
    </row>
    <row r="202" ht="22" customHeight="1" spans="1:9">
      <c r="A202" s="8"/>
      <c r="B202" s="90" t="s">
        <v>226</v>
      </c>
      <c r="C202" s="89" t="s">
        <v>201</v>
      </c>
      <c r="D202" s="89">
        <v>100</v>
      </c>
      <c r="E202" s="9"/>
      <c r="F202" s="8"/>
      <c r="G202" s="8"/>
      <c r="H202" s="8"/>
      <c r="I202" s="8"/>
    </row>
    <row r="203" ht="22" customHeight="1" spans="1:9">
      <c r="A203" s="8"/>
      <c r="B203" s="90" t="s">
        <v>227</v>
      </c>
      <c r="C203" s="89" t="s">
        <v>201</v>
      </c>
      <c r="D203" s="89">
        <v>100</v>
      </c>
      <c r="E203" s="9"/>
      <c r="F203" s="8"/>
      <c r="G203" s="8"/>
      <c r="H203" s="8"/>
      <c r="I203" s="8"/>
    </row>
    <row r="204" ht="22" customHeight="1" spans="1:9">
      <c r="A204" s="8"/>
      <c r="B204" s="90" t="s">
        <v>228</v>
      </c>
      <c r="C204" s="89" t="s">
        <v>201</v>
      </c>
      <c r="D204" s="89">
        <v>100</v>
      </c>
      <c r="E204" s="9"/>
      <c r="F204" s="8"/>
      <c r="G204" s="8"/>
      <c r="H204" s="8"/>
      <c r="I204" s="8"/>
    </row>
    <row r="205" ht="22" customHeight="1" spans="1:9">
      <c r="A205" s="8"/>
      <c r="B205" s="90" t="s">
        <v>229</v>
      </c>
      <c r="C205" s="89" t="s">
        <v>201</v>
      </c>
      <c r="D205" s="89">
        <v>100</v>
      </c>
      <c r="E205" s="9"/>
      <c r="F205" s="8"/>
      <c r="G205" s="8"/>
      <c r="H205" s="8"/>
      <c r="I205" s="8"/>
    </row>
    <row r="206" ht="22" customHeight="1" spans="1:9">
      <c r="A206" s="8"/>
      <c r="B206" s="97" t="s">
        <v>230</v>
      </c>
      <c r="C206" s="89" t="s">
        <v>201</v>
      </c>
      <c r="D206" s="89">
        <v>100</v>
      </c>
      <c r="E206" s="9"/>
      <c r="F206" s="8"/>
      <c r="G206" s="8"/>
      <c r="H206" s="8"/>
      <c r="I206" s="8"/>
    </row>
    <row r="207" ht="22" customHeight="1" spans="1:9">
      <c r="A207" s="8"/>
      <c r="B207" s="98" t="s">
        <v>231</v>
      </c>
      <c r="C207" s="89" t="s">
        <v>30</v>
      </c>
      <c r="D207" s="89">
        <v>100</v>
      </c>
      <c r="E207" s="9"/>
      <c r="F207" s="8"/>
      <c r="G207" s="8"/>
      <c r="H207" s="8"/>
      <c r="I207" s="8"/>
    </row>
    <row r="208" ht="22" customHeight="1" spans="1:9">
      <c r="A208" s="8"/>
      <c r="B208" s="87"/>
      <c r="C208" s="89"/>
      <c r="D208" s="89"/>
      <c r="E208" s="9"/>
      <c r="F208" s="8"/>
      <c r="G208" s="8"/>
      <c r="H208" s="8"/>
      <c r="I208" s="8"/>
    </row>
    <row r="209" ht="22" customHeight="1" spans="1:9">
      <c r="A209" s="8"/>
      <c r="B209" s="8"/>
      <c r="C209" s="8"/>
      <c r="D209" s="9"/>
      <c r="E209" s="9"/>
      <c r="F209" s="8"/>
      <c r="G209" s="8"/>
      <c r="H209" s="8"/>
      <c r="I209" s="8"/>
    </row>
    <row r="210" ht="21" customHeight="1" spans="1:9">
      <c r="A210" s="7" t="s">
        <v>232</v>
      </c>
      <c r="B210" s="8"/>
      <c r="C210" s="8"/>
      <c r="D210" s="9"/>
      <c r="E210" s="9"/>
      <c r="F210" s="8"/>
      <c r="G210" s="8"/>
      <c r="H210" s="8"/>
      <c r="I210" s="8"/>
    </row>
    <row r="211" ht="21" customHeight="1" spans="1:9">
      <c r="A211" s="8"/>
      <c r="B211" s="8"/>
      <c r="C211" s="8"/>
      <c r="D211" s="9"/>
      <c r="E211" s="9"/>
      <c r="F211" s="8"/>
      <c r="G211" s="8"/>
      <c r="H211" s="8"/>
      <c r="I211" s="8"/>
    </row>
    <row r="212" spans="1:9">
      <c r="A212" s="8"/>
      <c r="B212" s="8"/>
      <c r="C212" s="8"/>
      <c r="D212" s="9"/>
      <c r="E212" s="9"/>
      <c r="F212" s="8"/>
      <c r="G212" s="8"/>
      <c r="H212" s="8"/>
      <c r="I212" s="8"/>
    </row>
    <row r="213" s="2" customFormat="1" ht="13.5" spans="1:9">
      <c r="A213" s="1" t="s">
        <v>233</v>
      </c>
      <c r="B213" s="1"/>
      <c r="C213" s="1"/>
      <c r="D213" s="1"/>
      <c r="E213" s="1"/>
      <c r="F213" s="1"/>
      <c r="G213" s="1"/>
      <c r="H213" s="1"/>
      <c r="I213" s="1"/>
    </row>
    <row r="214" s="2" customFormat="1" ht="13.5" spans="1:9">
      <c r="A214" s="1" t="s">
        <v>234</v>
      </c>
      <c r="B214" s="1"/>
      <c r="C214" s="1"/>
      <c r="D214" s="1"/>
      <c r="E214" s="1"/>
      <c r="F214" s="1"/>
      <c r="G214" s="1"/>
      <c r="H214" s="1"/>
      <c r="I214" s="1"/>
    </row>
    <row r="215" s="2" customFormat="1" ht="13.5" spans="1:9">
      <c r="A215" s="1" t="s">
        <v>235</v>
      </c>
      <c r="B215" s="1"/>
      <c r="C215" s="1"/>
      <c r="D215" s="1"/>
      <c r="E215" s="1"/>
      <c r="F215" s="1"/>
      <c r="G215" s="1"/>
      <c r="H215" s="1"/>
      <c r="I215" s="1"/>
    </row>
    <row r="216" s="2" customFormat="1" ht="13.5" spans="1:9">
      <c r="A216" s="1" t="s">
        <v>236</v>
      </c>
      <c r="B216" s="1"/>
      <c r="C216" s="1"/>
      <c r="D216" s="1"/>
      <c r="E216" s="1"/>
      <c r="F216" s="1"/>
      <c r="G216" s="1"/>
      <c r="H216" s="1"/>
      <c r="I216" s="1"/>
    </row>
    <row r="217" s="2" customFormat="1" ht="13.5" spans="1:9">
      <c r="A217" s="1" t="s">
        <v>237</v>
      </c>
      <c r="B217" s="1"/>
      <c r="C217" s="1"/>
      <c r="D217" s="1"/>
      <c r="E217" s="1"/>
      <c r="F217" s="1"/>
      <c r="G217" s="1"/>
      <c r="H217" s="1"/>
      <c r="I217" s="1"/>
    </row>
    <row r="218" s="2" customFormat="1" ht="13.5" spans="1:9">
      <c r="A218" s="1" t="s">
        <v>238</v>
      </c>
      <c r="B218" s="1"/>
      <c r="C218" s="1"/>
      <c r="D218" s="1"/>
      <c r="E218" s="1"/>
      <c r="F218" s="1"/>
      <c r="G218" s="1"/>
      <c r="H218" s="1"/>
      <c r="I218" s="1"/>
    </row>
  </sheetData>
  <mergeCells count="131">
    <mergeCell ref="G3:H3"/>
    <mergeCell ref="A5:A25"/>
    <mergeCell ref="A26:A36"/>
    <mergeCell ref="A37:A46"/>
    <mergeCell ref="A48:A49"/>
    <mergeCell ref="A51:A58"/>
    <mergeCell ref="A59:A60"/>
    <mergeCell ref="A61:A62"/>
    <mergeCell ref="A63:A64"/>
    <mergeCell ref="A65:A67"/>
    <mergeCell ref="A68:A75"/>
    <mergeCell ref="A76:A78"/>
    <mergeCell ref="A79:A80"/>
    <mergeCell ref="A81:A83"/>
    <mergeCell ref="A84:A100"/>
    <mergeCell ref="A101:A102"/>
    <mergeCell ref="A104:A115"/>
    <mergeCell ref="A116:A118"/>
    <mergeCell ref="A119:A124"/>
    <mergeCell ref="A126:A130"/>
    <mergeCell ref="A131:A132"/>
    <mergeCell ref="A133:A137"/>
    <mergeCell ref="A139:A142"/>
    <mergeCell ref="A143:A144"/>
    <mergeCell ref="A148:A155"/>
    <mergeCell ref="A157:A159"/>
    <mergeCell ref="A160:A161"/>
    <mergeCell ref="A162:A163"/>
    <mergeCell ref="B5:B25"/>
    <mergeCell ref="B26:B36"/>
    <mergeCell ref="B37:B46"/>
    <mergeCell ref="B48:B49"/>
    <mergeCell ref="B51:B58"/>
    <mergeCell ref="B59:B60"/>
    <mergeCell ref="B61:B62"/>
    <mergeCell ref="B63:B64"/>
    <mergeCell ref="B65:B67"/>
    <mergeCell ref="B68:B75"/>
    <mergeCell ref="B76:B78"/>
    <mergeCell ref="B79:B80"/>
    <mergeCell ref="B81:B83"/>
    <mergeCell ref="B84:B100"/>
    <mergeCell ref="B101:B102"/>
    <mergeCell ref="B104:B115"/>
    <mergeCell ref="B116:B118"/>
    <mergeCell ref="B119:B124"/>
    <mergeCell ref="B126:B130"/>
    <mergeCell ref="B131:B132"/>
    <mergeCell ref="B133:B137"/>
    <mergeCell ref="B139:B142"/>
    <mergeCell ref="B143:B144"/>
    <mergeCell ref="B148:B155"/>
    <mergeCell ref="B157:B159"/>
    <mergeCell ref="B160:B161"/>
    <mergeCell ref="B162:B163"/>
    <mergeCell ref="C5:C25"/>
    <mergeCell ref="C26:C36"/>
    <mergeCell ref="C37:C46"/>
    <mergeCell ref="C48:C49"/>
    <mergeCell ref="C51:C58"/>
    <mergeCell ref="C61:C62"/>
    <mergeCell ref="C63:C64"/>
    <mergeCell ref="C65:C67"/>
    <mergeCell ref="C68:C75"/>
    <mergeCell ref="C76:C78"/>
    <mergeCell ref="C79:C80"/>
    <mergeCell ref="C81:C83"/>
    <mergeCell ref="C84:C100"/>
    <mergeCell ref="C101:C102"/>
    <mergeCell ref="C104:C115"/>
    <mergeCell ref="C116:C118"/>
    <mergeCell ref="C119:C124"/>
    <mergeCell ref="C126:C130"/>
    <mergeCell ref="C131:C132"/>
    <mergeCell ref="C133:C137"/>
    <mergeCell ref="C139:C142"/>
    <mergeCell ref="C143:C144"/>
    <mergeCell ref="C148:C155"/>
    <mergeCell ref="C157:C159"/>
    <mergeCell ref="C160:C161"/>
    <mergeCell ref="C162:C163"/>
    <mergeCell ref="E5:E10"/>
    <mergeCell ref="E11:E18"/>
    <mergeCell ref="E19:E21"/>
    <mergeCell ref="E22:E24"/>
    <mergeCell ref="E27:E31"/>
    <mergeCell ref="E32:E34"/>
    <mergeCell ref="E37:E38"/>
    <mergeCell ref="E39:E42"/>
    <mergeCell ref="E44:E45"/>
    <mergeCell ref="E48:E49"/>
    <mergeCell ref="E51:E55"/>
    <mergeCell ref="E56:E57"/>
    <mergeCell ref="E59:E60"/>
    <mergeCell ref="E63:E64"/>
    <mergeCell ref="E65:E66"/>
    <mergeCell ref="E69:E72"/>
    <mergeCell ref="E73:E74"/>
    <mergeCell ref="E76:E78"/>
    <mergeCell ref="E79:E80"/>
    <mergeCell ref="E81:E83"/>
    <mergeCell ref="E84:E88"/>
    <mergeCell ref="E89:E94"/>
    <mergeCell ref="E95:E97"/>
    <mergeCell ref="E98:E99"/>
    <mergeCell ref="E104:E110"/>
    <mergeCell ref="E111:E115"/>
    <mergeCell ref="E120:E124"/>
    <mergeCell ref="E126:E127"/>
    <mergeCell ref="E128:E130"/>
    <mergeCell ref="E131:E132"/>
    <mergeCell ref="E133:E137"/>
    <mergeCell ref="E139:E142"/>
    <mergeCell ref="I5:I25"/>
    <mergeCell ref="I26:I36"/>
    <mergeCell ref="I48:I49"/>
    <mergeCell ref="I59:I60"/>
    <mergeCell ref="I61:I62"/>
    <mergeCell ref="I63:I64"/>
    <mergeCell ref="I65:I67"/>
    <mergeCell ref="I68:I75"/>
    <mergeCell ref="I79:I80"/>
    <mergeCell ref="I81:I83"/>
    <mergeCell ref="I84:I100"/>
    <mergeCell ref="I101:I102"/>
    <mergeCell ref="I104:I115"/>
    <mergeCell ref="I116:I118"/>
    <mergeCell ref="I139:I142"/>
    <mergeCell ref="I157:I159"/>
    <mergeCell ref="I181:I182"/>
    <mergeCell ref="A1:I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石材预算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妙琴</cp:lastModifiedBy>
  <dcterms:created xsi:type="dcterms:W3CDTF">2021-03-28T01:54:00Z</dcterms:created>
  <dcterms:modified xsi:type="dcterms:W3CDTF">2021-04-21T07:02:09Z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52B30152F39E4A2396FB20480FDDCAC7</vt:lpwstr>
  </property>
  <property fmtid="{D5CDD505-2E9C-101B-9397-08002B2CF9AE}" pid="3" name="KSOProductBuildVer">
    <vt:lpwstr>2052-11.1.0.10314</vt:lpwstr>
  </property>
</Properties>
</file>